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240" yWindow="120" windowWidth="14940" windowHeight="9225" tabRatio="840"/>
  </bookViews>
  <sheets>
    <sheet name="Intro" sheetId="19" r:id="rId1"/>
    <sheet name="Graphs" sheetId="1" r:id="rId2"/>
    <sheet name="Inputs" sheetId="2" r:id="rId3"/>
    <sheet name="Investment" sheetId="3" r:id="rId4"/>
    <sheet name="Operations" sheetId="4" r:id="rId5"/>
    <sheet name="Equity Fin" sheetId="5" r:id="rId6"/>
    <sheet name="EqF Subproject 1" sheetId="6" r:id="rId7"/>
    <sheet name="EqF Subproject 2" sheetId="7" r:id="rId8"/>
    <sheet name="Blended Fin" sheetId="8" r:id="rId9"/>
    <sheet name="BF Subproject 1" sheetId="9" r:id="rId10"/>
    <sheet name="BF Subproject 2" sheetId="10" r:id="rId11"/>
    <sheet name="Formulas" sheetId="11" r:id="rId12"/>
    <sheet name="Plot Support" sheetId="12" state="hidden" r:id="rId13"/>
    <sheet name="(Compute)" sheetId="13" state="hidden" r:id="rId14"/>
    <sheet name="(FnCalls 1)" sheetId="14" state="hidden" r:id="rId15"/>
    <sheet name="(Tables)" sheetId="15" state="hidden" r:id="rId16"/>
    <sheet name="Labels" sheetId="16" r:id="rId17"/>
    <sheet name="(Ranges)" sheetId="17" state="hidden" r:id="rId18"/>
    <sheet name="(Import)" sheetId="18" state="hidden" r:id="rId19"/>
  </sheets>
  <definedNames>
    <definedName name="Book_Value_End_Date">'(Ranges)'!$A$50:$I$50</definedName>
    <definedName name="Book_Value_End_plt_Date">'(Ranges)'!$A$125:$I$125</definedName>
    <definedName name="Book_Value_End_plt_Subprojects">'(Ranges)'!$A$123:$I$123</definedName>
    <definedName name="Book_Value_End_plt_Subprojects_Canoes">'(Ranges)'!$A$122:$I$122</definedName>
    <definedName name="Book_Value_End_plt_Subprojects_Catamarans">'(Ranges)'!$A$121:$I$121</definedName>
    <definedName name="Book_Value_End_plt_Time_Period">'(Ranges)'!$A$124:$I$124</definedName>
    <definedName name="Book_Value_End_Subprojects">'(Ranges)'!$A$48:$I$48</definedName>
    <definedName name="Book_Value_End_Subprojects_Canoes">'(Ranges)'!$A$47:$I$47</definedName>
    <definedName name="Book_Value_End_Subprojects_Catamarans">'(Ranges)'!$A$46:$I$46</definedName>
    <definedName name="Book_Value_End_Time_Period">'(Ranges)'!$A$49:$I$49</definedName>
    <definedName name="Book_Value_Fixed_End_Date">'(Ranges)'!$A$59:$I$59</definedName>
    <definedName name="Book_Value_Fixed_End_Subprojects">'(Ranges)'!$A$57:$I$57</definedName>
    <definedName name="Book_Value_Fixed_End_Subprojects_Canoes">'(Ranges)'!$A$56:$I$56</definedName>
    <definedName name="Book_Value_Fixed_End_Subprojects_Canoes_Invest_per_Subproject">'(Ranges)'!$A$56:$I$56</definedName>
    <definedName name="Book_Value_Fixed_End_Subprojects_Canoes_Invest_per_Subproject_Invest_1">'(Ranges)'!$A$54:$I$54</definedName>
    <definedName name="Book_Value_Fixed_End_Subprojects_Canoes_Invest_per_Subproject_Invest_2">'(Ranges)'!$A$55:$I$55</definedName>
    <definedName name="Book_Value_Fixed_End_Subprojects_Catamarans">'(Ranges)'!$A$53:$I$53</definedName>
    <definedName name="Book_Value_Fixed_End_Subprojects_Catamarans_Invest_per_Subproject">'(Ranges)'!$A$53:$I$53</definedName>
    <definedName name="Book_Value_Fixed_End_Subprojects_Catamarans_Invest_per_Subproject_Invest_1">'(Ranges)'!$A$51:$I$51</definedName>
    <definedName name="Book_Value_Fixed_End_Subprojects_Catamarans_Invest_per_Subproject_Invest_2">'(Ranges)'!$A$52:$I$52</definedName>
    <definedName name="Book_Value_Fixed_End_Time_Period">'(Ranges)'!$A$58:$I$58</definedName>
    <definedName name="Capital_Average_Date">'(Ranges)'!$A$64:$H$64</definedName>
    <definedName name="Capital_Average_Subprojects">'(Ranges)'!$A$62:$H$62</definedName>
    <definedName name="Capital_Average_Subprojects_Canoes">'(Ranges)'!$A$61:$H$61</definedName>
    <definedName name="Capital_Average_Subprojects_Catamarans">'(Ranges)'!$A$60:$H$60</definedName>
    <definedName name="Capital_Average_Time_Period">'(Ranges)'!$A$63:$H$63</definedName>
    <definedName name="Cash_Flow_plt_Date">'(Ranges)'!$A$130:$I$130</definedName>
    <definedName name="Cash_Flow_plt_Subprojects">'(Ranges)'!$A$128:$I$128</definedName>
    <definedName name="Cash_Flow_plt_Subprojects_Canoes">'(Ranges)'!$A$127:$I$127</definedName>
    <definedName name="Cash_Flow_plt_Subprojects_Catamarans">'(Ranges)'!$A$126:$I$126</definedName>
    <definedName name="Cash_Flow_plt_Time_Period">'(Ranges)'!$A$129:$I$129</definedName>
    <definedName name="Cash_Flow_Work_Cap_Date">'(Ranges)'!$A$83:$I$83</definedName>
    <definedName name="Cash_Flow_Work_Cap_Subprojects">'(Ranges)'!$A$81:$I$81</definedName>
    <definedName name="Cash_Flow_Work_Cap_Subprojects_Canoes">'(Ranges)'!$A$80:$I$80</definedName>
    <definedName name="Cash_Flow_Work_Cap_Subprojects_Canoes_Working_Cap_Accts">'(Ranges)'!$A$80:$I$80</definedName>
    <definedName name="Cash_Flow_Work_Cap_Subprojects_Canoes_Working_Cap_Accts_Receivables">'(Ranges)'!$A$78:$I$78</definedName>
    <definedName name="Cash_Flow_Work_Cap_Subprojects_Canoes_Working_Cap_Accts_Supplies_inventory">'(Ranges)'!$A$79:$I$79</definedName>
    <definedName name="Cash_Flow_Work_Cap_Subprojects_Catamarans">'(Ranges)'!$A$77:$I$77</definedName>
    <definedName name="Cash_Flow_Work_Cap_Subprojects_Catamarans_Working_Cap_Accts">'(Ranges)'!$A$77:$I$77</definedName>
    <definedName name="Cash_Flow_Work_Cap_Subprojects_Catamarans_Working_Cap_Accts_Receivables">'(Ranges)'!$A$75:$I$75</definedName>
    <definedName name="Cash_Flow_Work_Cap_Subprojects_Catamarans_Working_Cap_Accts_Supplies_inventory">'(Ranges)'!$A$76:$I$76</definedName>
    <definedName name="Cash_Flow_Work_Cap_Time_Period">'(Ranges)'!$A$82:$I$82</definedName>
    <definedName name="DCF_BlendedFin_CF_Blended">'(Ranges)'!$A$118:$I$118</definedName>
    <definedName name="DCF_BlendedFin_CF_Blended_Debt_Principal">'(Ranges)'!$A$108:$I$108</definedName>
    <definedName name="DCF_BlendedFin_CF_Blended_Debt_Principal_Subprojects">'(Ranges)'!$A$108:$I$108</definedName>
    <definedName name="DCF_BlendedFin_CF_Blended_Debt_Principal_Subprojects_Canoes">'(Ranges)'!$A$107:$I$107</definedName>
    <definedName name="DCF_BlendedFin_CF_Blended_Debt_Principal_Subprojects_Catamarans">'(Ranges)'!$A$106:$I$106</definedName>
    <definedName name="DCF_BlendedFin_CF_Blended_EBITDA">'(Ranges)'!$A$96:$I$96</definedName>
    <definedName name="DCF_BlendedFin_CF_Blended_EBITDA_Subprojects">'(Ranges)'!$A$96:$I$96</definedName>
    <definedName name="DCF_BlendedFin_CF_Blended_EBITDA_Subprojects_Canoes">'(Ranges)'!$A$95:$I$95</definedName>
    <definedName name="DCF_BlendedFin_CF_Blended_EBITDA_Subprojects_Catamarans">'(Ranges)'!$A$94:$I$94</definedName>
    <definedName name="DCF_BlendedFin_CF_Blended_Fixed_Invest">'(Ranges)'!$A$99:$I$99</definedName>
    <definedName name="DCF_BlendedFin_CF_Blended_Fixed_Invest_Subprojects">'(Ranges)'!$A$99:$I$99</definedName>
    <definedName name="DCF_BlendedFin_CF_Blended_Fixed_Invest_Subprojects_Canoes">'(Ranges)'!$A$98:$I$98</definedName>
    <definedName name="DCF_BlendedFin_CF_Blended_Fixed_Invest_Subprojects_Catamarans">'(Ranges)'!$A$97:$I$97</definedName>
    <definedName name="DCF_BlendedFin_CF_Blended_Income_Tax">'(Ranges)'!$A$117:$I$117</definedName>
    <definedName name="DCF_BlendedFin_CF_Blended_Income_Tax_Subprojects">'(Ranges)'!$A$117:$I$117</definedName>
    <definedName name="DCF_BlendedFin_CF_Blended_Income_Tax_Subprojects_Canoes">'(Ranges)'!$A$116:$I$116</definedName>
    <definedName name="DCF_BlendedFin_CF_Blended_Income_Tax_Subprojects_Catamarans">'(Ranges)'!$A$115:$I$115</definedName>
    <definedName name="DCF_BlendedFin_CF_Blended_Interest_Pay">'(Ranges)'!$A$111:$I$111</definedName>
    <definedName name="DCF_BlendedFin_CF_Blended_Interest_Pay_Subprojects">'(Ranges)'!$A$111:$I$111</definedName>
    <definedName name="DCF_BlendedFin_CF_Blended_Interest_Pay_Subprojects_Canoes">'(Ranges)'!$A$110:$I$110</definedName>
    <definedName name="DCF_BlendedFin_CF_Blended_Interest_Pay_Subprojects_Catamarans">'(Ranges)'!$A$109:$I$109</definedName>
    <definedName name="DCF_BlendedFin_CF_Blended_Inv_Tax_Credit">'(Ranges)'!$A$102:$I$102</definedName>
    <definedName name="DCF_BlendedFin_CF_Blended_Inv_Tax_Credit_Subprojects">'(Ranges)'!$A$102:$I$102</definedName>
    <definedName name="DCF_BlendedFin_CF_Blended_Inv_Tax_Credit_Subprojects_Canoes">'(Ranges)'!$A$101:$I$101</definedName>
    <definedName name="DCF_BlendedFin_CF_Blended_Inv_Tax_Credit_Subprojects_Catamarans">'(Ranges)'!$A$100:$I$100</definedName>
    <definedName name="DCF_BlendedFin_CF_Blended_Lease_Pay">'(Ranges)'!$A$114:$I$114</definedName>
    <definedName name="DCF_BlendedFin_CF_Blended_Lease_Pay_Subprojects">'(Ranges)'!$A$114:$I$114</definedName>
    <definedName name="DCF_BlendedFin_CF_Blended_Lease_Pay_Subprojects_Canoes">'(Ranges)'!$A$113:$I$113</definedName>
    <definedName name="DCF_BlendedFin_CF_Blended_Lease_Pay_Subprojects_Catamarans">'(Ranges)'!$A$112:$I$112</definedName>
    <definedName name="DCF_BlendedFin_CF_Blended_Working_Cap">'(Ranges)'!$A$105:$I$105</definedName>
    <definedName name="DCF_BlendedFin_CF_Blended_Working_Cap_Subprojects">'(Ranges)'!$A$105:$I$105</definedName>
    <definedName name="DCF_BlendedFin_CF_Blended_Working_Cap_Subprojects_Canoes">'(Ranges)'!$A$104:$I$104</definedName>
    <definedName name="DCF_BlendedFin_CF_Blended_Working_Cap_Subprojects_Catamarans">'(Ranges)'!$A$103:$I$103</definedName>
    <definedName name="DCF_BlendedFin_Date">'(Ranges)'!$A$120:$I$120</definedName>
    <definedName name="DCF_BlendedFin_Time_Period">'(Ranges)'!$A$119:$I$119</definedName>
    <definedName name="DCF_Cum_Date">'(Ranges)'!$A$145:$I$145</definedName>
    <definedName name="DCF_Cum_plt_Date">'(Ranges)'!$A$140:$I$140</definedName>
    <definedName name="DCF_Cum_plt_Subprojects">'(Ranges)'!$A$138:$I$138</definedName>
    <definedName name="DCF_Cum_plt_Subprojects_Canoes">'(Ranges)'!$A$137:$I$137</definedName>
    <definedName name="DCF_Cum_plt_Subprojects_Catamarans">'(Ranges)'!$A$136:$I$136</definedName>
    <definedName name="DCF_Cum_plt_Time_Period">'(Ranges)'!$A$139:$I$139</definedName>
    <definedName name="DCF_Cum_Subprojects">'(Ranges)'!$A$143:$I$143</definedName>
    <definedName name="DCF_Cum_Subprojects_Canoes">'(Ranges)'!$A$142:$I$142</definedName>
    <definedName name="DCF_Cum_Subprojects_Catamarans">'(Ranges)'!$A$141:$I$141</definedName>
    <definedName name="DCF_Cum_Time_Period">'(Ranges)'!$A$144:$I$144</definedName>
    <definedName name="DCF_plt_Date">'(Ranges)'!$A$135:$I$135</definedName>
    <definedName name="DCF_plt_Subprojects">'(Ranges)'!$A$133:$I$133</definedName>
    <definedName name="DCF_plt_Subprojects_Canoes">'(Ranges)'!$A$132:$I$132</definedName>
    <definedName name="DCF_plt_Subprojects_Catamarans">'(Ranges)'!$A$131:$I$131</definedName>
    <definedName name="DCF_plt_Time_Period">'(Ranges)'!$A$134:$I$134</definedName>
    <definedName name="EBIT_Date">'(Ranges)'!$A$74:$H$74</definedName>
    <definedName name="EBIT_Subprojects">'(Ranges)'!$A$72:$H$72</definedName>
    <definedName name="EBIT_Subprojects_Canoes">'(Ranges)'!$A$71:$H$71</definedName>
    <definedName name="EBIT_Subprojects_Catamarans">'(Ranges)'!$A$70:$H$70</definedName>
    <definedName name="EBIT_Time_Period">'(Ranges)'!$A$73:$H$73</definedName>
    <definedName name="EBITDA_Date">'(Ranges)'!$A$69:$H$69</definedName>
    <definedName name="EBITDA_plt_Date">'(Ranges)'!$A$150:$H$150</definedName>
    <definedName name="EBITDA_plt_Subprojects">'(Ranges)'!$A$148:$H$148</definedName>
    <definedName name="EBITDA_plt_Subprojects_Canoes">'(Ranges)'!$A$147:$H$147</definedName>
    <definedName name="EBITDA_plt_Subprojects_Catamarans">'(Ranges)'!$A$146:$H$146</definedName>
    <definedName name="EBITDA_plt_Time_Period">'(Ranges)'!$A$149:$H$149</definedName>
    <definedName name="EBITDA_Subprojects">'(Ranges)'!$A$67:$H$67</definedName>
    <definedName name="EBITDA_Subprojects_Canoes">'(Ranges)'!$A$66:$H$66</definedName>
    <definedName name="EBITDA_Subprojects_Catamarans">'(Ranges)'!$A$65:$H$65</definedName>
    <definedName name="EBITDA_Time_Period">'(Ranges)'!$A$68:$H$68</definedName>
    <definedName name="Expense_Oper_Fixed_Date">'(Ranges)'!$A$36:$H$36</definedName>
    <definedName name="Expense_Oper_Fixed_Subprojects">'(Ranges)'!$A$34:$H$34</definedName>
    <definedName name="Expense_Oper_Fixed_Subprojects_Canoes">'(Ranges)'!$A$33:$H$33</definedName>
    <definedName name="Expense_Oper_Fixed_Subprojects_Canoes_Fixed_Expense_Accts">'(Ranges)'!$A$33:$H$33</definedName>
    <definedName name="Expense_Oper_Fixed_Subprojects_Canoes_Fixed_Expense_Accts_Computers">'(Ranges)'!$A$31:$H$31</definedName>
    <definedName name="Expense_Oper_Fixed_Subprojects_Canoes_Fixed_Expense_Accts_Vehicles">'(Ranges)'!$A$32:$H$32</definedName>
    <definedName name="Expense_Oper_Fixed_Subprojects_Catamarans">'(Ranges)'!$A$30:$H$30</definedName>
    <definedName name="Expense_Oper_Fixed_Subprojects_Catamarans_Fixed_Expense_Accts">'(Ranges)'!$A$30:$H$30</definedName>
    <definedName name="Expense_Oper_Fixed_Subprojects_Catamarans_Fixed_Expense_Accts_Computers">'(Ranges)'!$A$28:$H$28</definedName>
    <definedName name="Expense_Oper_Fixed_Subprojects_Catamarans_Fixed_Expense_Accts_Vehicles">'(Ranges)'!$A$29:$H$29</definedName>
    <definedName name="Expense_Oper_Fixed_Time_Period">'(Ranges)'!$A$35:$H$35</definedName>
    <definedName name="Expense_Oper_Variable_Date">'(Ranges)'!$A$45:$H$45</definedName>
    <definedName name="Expense_Oper_Variable_Subprojects">'(Ranges)'!$A$43:$H$43</definedName>
    <definedName name="Expense_Oper_Variable_Subprojects_Canoes">'(Ranges)'!$A$42:$H$42</definedName>
    <definedName name="Expense_Oper_Variable_Subprojects_Canoes_Var_Expense_Accts">'(Ranges)'!$A$42:$H$42</definedName>
    <definedName name="Expense_Oper_Variable_Subprojects_Canoes_Var_Expense_Accts_Fuel">'(Ranges)'!$A$40:$H$40</definedName>
    <definedName name="Expense_Oper_Variable_Subprojects_Canoes_Var_Expense_Accts_Maintenance">'(Ranges)'!$A$41:$H$41</definedName>
    <definedName name="Expense_Oper_Variable_Subprojects_Catamarans">'(Ranges)'!$A$39:$H$39</definedName>
    <definedName name="Expense_Oper_Variable_Subprojects_Catamarans_Var_Expense_Accts">'(Ranges)'!$A$39:$H$39</definedName>
    <definedName name="Expense_Oper_Variable_Subprojects_Catamarans_Var_Expense_Accts_Fuel">'(Ranges)'!$A$37:$H$37</definedName>
    <definedName name="Expense_Oper_Variable_Subprojects_Catamarans_Var_Expense_Accts_Maintenance">'(Ranges)'!$A$38:$H$38</definedName>
    <definedName name="Expense_Oper_Variable_Time_Period">'(Ranges)'!$A$44:$H$44</definedName>
    <definedName name="Fin_Type_Wgts_FinTypes">Investment!$E$97</definedName>
    <definedName name="Fin_Type_Wgts_FinTypes_Debt">Investment!$C$97</definedName>
    <definedName name="Fin_Type_Wgts_FinTypes_Debt_Subprojects">Investment!$C$97</definedName>
    <definedName name="Fin_Type_Wgts_FinTypes_Debt_Subprojects_Canoes">Investment!$C$96</definedName>
    <definedName name="Fin_Type_Wgts_FinTypes_Debt_Subprojects_Canoes_Invest_per_Subproject">Investment!$C$96</definedName>
    <definedName name="Fin_Type_Wgts_FinTypes_Debt_Subprojects_Canoes_Invest_per_Subproject_Invest_1">Investment!$C$94</definedName>
    <definedName name="Fin_Type_Wgts_FinTypes_Debt_Subprojects_Canoes_Invest_per_Subproject_Invest_2">Investment!$C$95</definedName>
    <definedName name="Fin_Type_Wgts_FinTypes_Debt_Subprojects_Catamarans">Investment!$C$92</definedName>
    <definedName name="Fin_Type_Wgts_FinTypes_Debt_Subprojects_Catamarans_Invest_per_Subproject">Investment!$C$92</definedName>
    <definedName name="Fin_Type_Wgts_FinTypes_Debt_Subprojects_Catamarans_Invest_per_Subproject_Invest_1">Investment!$C$90</definedName>
    <definedName name="Fin_Type_Wgts_FinTypes_Debt_Subprojects_Catamarans_Invest_per_Subproject_Invest_2">Investment!$C$91</definedName>
    <definedName name="Fin_Type_Wgts_FinTypes_Equity">Investment!$B$97</definedName>
    <definedName name="Fin_Type_Wgts_FinTypes_Equity_Subprojects">Investment!$B$97</definedName>
    <definedName name="Fin_Type_Wgts_FinTypes_Equity_Subprojects_Canoes">Investment!$B$96</definedName>
    <definedName name="Fin_Type_Wgts_FinTypes_Equity_Subprojects_Canoes_Invest_per_Subproject">Investment!$B$96</definedName>
    <definedName name="Fin_Type_Wgts_FinTypes_Equity_Subprojects_Canoes_Invest_per_Subproject_Invest_1">Investment!$B$94</definedName>
    <definedName name="Fin_Type_Wgts_FinTypes_Equity_Subprojects_Canoes_Invest_per_Subproject_Invest_2">Investment!$B$95</definedName>
    <definedName name="Fin_Type_Wgts_FinTypes_Equity_Subprojects_Catamarans">Investment!$B$92</definedName>
    <definedName name="Fin_Type_Wgts_FinTypes_Equity_Subprojects_Catamarans_Invest_per_Subproject">Investment!$B$92</definedName>
    <definedName name="Fin_Type_Wgts_FinTypes_Equity_Subprojects_Catamarans_Invest_per_Subproject_Invest_1">Investment!$B$90</definedName>
    <definedName name="Fin_Type_Wgts_FinTypes_Equity_Subprojects_Catamarans_Invest_per_Subproject_Invest_2">Investment!$B$91</definedName>
    <definedName name="Fin_Type_Wgts_FinTypes_Lease">Investment!$D$97</definedName>
    <definedName name="Fin_Type_Wgts_FinTypes_Lease_Subprojects">Investment!$D$97</definedName>
    <definedName name="Fin_Type_Wgts_FinTypes_Lease_Subprojects_Canoes">Investment!$D$96</definedName>
    <definedName name="Fin_Type_Wgts_FinTypes_Lease_Subprojects_Canoes_Invest_per_Subproject">Investment!$D$96</definedName>
    <definedName name="Fin_Type_Wgts_FinTypes_Lease_Subprojects_Canoes_Invest_per_Subproject_Invest_1">Investment!$D$94</definedName>
    <definedName name="Fin_Type_Wgts_FinTypes_Lease_Subprojects_Canoes_Invest_per_Subproject_Invest_2">Investment!$D$95</definedName>
    <definedName name="Fin_Type_Wgts_FinTypes_Lease_Subprojects_Catamarans">Investment!$D$92</definedName>
    <definedName name="Fin_Type_Wgts_FinTypes_Lease_Subprojects_Catamarans_Invest_per_Subproject">Investment!$D$92</definedName>
    <definedName name="Fin_Type_Wgts_FinTypes_Lease_Subprojects_Catamarans_Invest_per_Subproject_Invest_1">Investment!$D$90</definedName>
    <definedName name="Fin_Type_Wgts_FinTypes_Lease_Subprojects_Catamarans_Invest_per_Subproject_Invest_2">Investment!$D$91</definedName>
    <definedName name="Fin_Type_Wgts_Sc_FinTypes_Debt_Scenarios_Fin_Scenario_1_Subprojects_Canoes_Invest_per_Subproject_Invest_1">Inputs!$F$146</definedName>
    <definedName name="Fin_Type_Wgts_Sc_FinTypes_Debt_Scenarios_Fin_Scenario_1_Subprojects_Canoes_Invest_per_Subproject_Invest_2">Inputs!$F$147</definedName>
    <definedName name="Fin_Type_Wgts_Sc_FinTypes_Debt_Scenarios_Fin_Scenario_1_Subprojects_Catamarans_Invest_per_Subproject_Invest_1">Inputs!$F$144</definedName>
    <definedName name="Fin_Type_Wgts_Sc_FinTypes_Debt_Scenarios_Fin_Scenario_1_Subprojects_Catamarans_Invest_per_Subproject_Invest_2">Inputs!$F$145</definedName>
    <definedName name="Fin_Type_Wgts_Sc_FinTypes_Debt_Scenarios_Fin_Scenario_2_Subprojects_Canoes_Invest_per_Subproject_Invest_1">Inputs!$F$150</definedName>
    <definedName name="Fin_Type_Wgts_Sc_FinTypes_Debt_Scenarios_Fin_Scenario_2_Subprojects_Canoes_Invest_per_Subproject_Invest_2">Inputs!$F$151</definedName>
    <definedName name="Fin_Type_Wgts_Sc_FinTypes_Debt_Scenarios_Fin_Scenario_2_Subprojects_Catamarans_Invest_per_Subproject_Invest_1">Inputs!$F$148</definedName>
    <definedName name="Fin_Type_Wgts_Sc_FinTypes_Debt_Scenarios_Fin_Scenario_2_Subprojects_Catamarans_Invest_per_Subproject_Invest_2">Inputs!$F$149</definedName>
    <definedName name="Fin_Type_Wgts_Sc_FinTypes_Debt_Scenarios_Fin_Scenario_3_Subprojects_Canoes_Invest_per_Subproject_Invest_1">Inputs!$F$154</definedName>
    <definedName name="Fin_Type_Wgts_Sc_FinTypes_Debt_Scenarios_Fin_Scenario_3_Subprojects_Canoes_Invest_per_Subproject_Invest_2">Inputs!$F$155</definedName>
    <definedName name="Fin_Type_Wgts_Sc_FinTypes_Debt_Scenarios_Fin_Scenario_3_Subprojects_Catamarans_Invest_per_Subproject_Invest_1">Inputs!$F$152</definedName>
    <definedName name="Fin_Type_Wgts_Sc_FinTypes_Debt_Scenarios_Fin_Scenario_3_Subprojects_Catamarans_Invest_per_Subproject_Invest_2">Inputs!$F$153</definedName>
    <definedName name="Fin_Type_Wgts_Sc_FinTypes_Equity_Scenarios_Fin_Scenario_1_Subprojects_Canoes_Invest_per_Subproject_Invest_1">Inputs!$E$146</definedName>
    <definedName name="Fin_Type_Wgts_Sc_FinTypes_Equity_Scenarios_Fin_Scenario_1_Subprojects_Canoes_Invest_per_Subproject_Invest_2">Inputs!$E$147</definedName>
    <definedName name="Fin_Type_Wgts_Sc_FinTypes_Equity_Scenarios_Fin_Scenario_1_Subprojects_Catamarans_Invest_per_Subproject_Invest_1">Inputs!$E$144</definedName>
    <definedName name="Fin_Type_Wgts_Sc_FinTypes_Equity_Scenarios_Fin_Scenario_1_Subprojects_Catamarans_Invest_per_Subproject_Invest_2">Inputs!$E$145</definedName>
    <definedName name="Fin_Type_Wgts_Sc_FinTypes_Equity_Scenarios_Fin_Scenario_2_Subprojects_Canoes_Invest_per_Subproject_Invest_1">Inputs!$E$150</definedName>
    <definedName name="Fin_Type_Wgts_Sc_FinTypes_Equity_Scenarios_Fin_Scenario_2_Subprojects_Canoes_Invest_per_Subproject_Invest_2">Inputs!$E$151</definedName>
    <definedName name="Fin_Type_Wgts_Sc_FinTypes_Equity_Scenarios_Fin_Scenario_2_Subprojects_Catamarans_Invest_per_Subproject_Invest_1">Inputs!$E$148</definedName>
    <definedName name="Fin_Type_Wgts_Sc_FinTypes_Equity_Scenarios_Fin_Scenario_2_Subprojects_Catamarans_Invest_per_Subproject_Invest_2">Inputs!$E$149</definedName>
    <definedName name="Fin_Type_Wgts_Sc_FinTypes_Equity_Scenarios_Fin_Scenario_3_Subprojects_Canoes_Invest_per_Subproject_Invest_1">Inputs!$E$154</definedName>
    <definedName name="Fin_Type_Wgts_Sc_FinTypes_Equity_Scenarios_Fin_Scenario_3_Subprojects_Canoes_Invest_per_Subproject_Invest_2">Inputs!$E$155</definedName>
    <definedName name="Fin_Type_Wgts_Sc_FinTypes_Equity_Scenarios_Fin_Scenario_3_Subprojects_Catamarans_Invest_per_Subproject_Invest_1">Inputs!$E$152</definedName>
    <definedName name="Fin_Type_Wgts_Sc_FinTypes_Equity_Scenarios_Fin_Scenario_3_Subprojects_Catamarans_Invest_per_Subproject_Invest_2">Inputs!$E$153</definedName>
    <definedName name="Fin_Type_Wgts_Sc_FinTypes_Lease_Scenarios_Fin_Scenario_1_Subprojects_Canoes_Invest_per_Subproject_Invest_1">Inputs!$G$146</definedName>
    <definedName name="Fin_Type_Wgts_Sc_FinTypes_Lease_Scenarios_Fin_Scenario_1_Subprojects_Canoes_Invest_per_Subproject_Invest_2">Inputs!$G$147</definedName>
    <definedName name="Fin_Type_Wgts_Sc_FinTypes_Lease_Scenarios_Fin_Scenario_1_Subprojects_Catamarans_Invest_per_Subproject_Invest_1">Inputs!$G$144</definedName>
    <definedName name="Fin_Type_Wgts_Sc_FinTypes_Lease_Scenarios_Fin_Scenario_1_Subprojects_Catamarans_Invest_per_Subproject_Invest_2">Inputs!$G$145</definedName>
    <definedName name="Fin_Type_Wgts_Sc_FinTypes_Lease_Scenarios_Fin_Scenario_2_Subprojects_Canoes_Invest_per_Subproject_Invest_1">Inputs!$G$150</definedName>
    <definedName name="Fin_Type_Wgts_Sc_FinTypes_Lease_Scenarios_Fin_Scenario_2_Subprojects_Canoes_Invest_per_Subproject_Invest_2">Inputs!$G$151</definedName>
    <definedName name="Fin_Type_Wgts_Sc_FinTypes_Lease_Scenarios_Fin_Scenario_2_Subprojects_Catamarans_Invest_per_Subproject_Invest_1">Inputs!$G$148</definedName>
    <definedName name="Fin_Type_Wgts_Sc_FinTypes_Lease_Scenarios_Fin_Scenario_2_Subprojects_Catamarans_Invest_per_Subproject_Invest_2">Inputs!$G$149</definedName>
    <definedName name="Fin_Type_Wgts_Sc_FinTypes_Lease_Scenarios_Fin_Scenario_3_Subprojects_Canoes_Invest_per_Subproject_Invest_1">Inputs!$G$154</definedName>
    <definedName name="Fin_Type_Wgts_Sc_FinTypes_Lease_Scenarios_Fin_Scenario_3_Subprojects_Canoes_Invest_per_Subproject_Invest_2">Inputs!$G$155</definedName>
    <definedName name="Fin_Type_Wgts_Sc_FinTypes_Lease_Scenarios_Fin_Scenario_3_Subprojects_Catamarans_Invest_per_Subproject_Invest_1">Inputs!$G$152</definedName>
    <definedName name="Fin_Type_Wgts_Sc_FinTypes_Lease_Scenarios_Fin_Scenario_3_Subprojects_Catamarans_Invest_per_Subproject_Invest_2">Inputs!$G$153</definedName>
    <definedName name="Financial_Leverage_Subprojects">Investment!$B$105</definedName>
    <definedName name="Financial_Leverage_Subprojects_Canoes">Investment!$B$104</definedName>
    <definedName name="Financial_Leverage_Subprojects_Catamarans">Investment!$B$103</definedName>
    <definedName name="Model_Start_Date">Labels!$B$3</definedName>
    <definedName name="Net_Income_plt_Date">'(Ranges)'!$A$155:$H$155</definedName>
    <definedName name="Net_Income_plt_Subprojects">'(Ranges)'!$A$153:$H$153</definedName>
    <definedName name="Net_Income_plt_Subprojects_Canoes">'(Ranges)'!$A$152:$H$152</definedName>
    <definedName name="Net_Income_plt_Subprojects_Catamarans">'(Ranges)'!$A$151:$H$151</definedName>
    <definedName name="Net_Income_plt_Time_Period">'(Ranges)'!$A$154:$H$154</definedName>
    <definedName name="_xlnm.Print_Titles" localSheetId="0">Intro!$1:$4</definedName>
    <definedName name="Revenue_Date">'(Ranges)'!$A$27:$H$27</definedName>
    <definedName name="Revenue_Subprojects">'(Ranges)'!$A$25:$H$25</definedName>
    <definedName name="Revenue_Subprojects_Canoes">'(Ranges)'!$A$24:$H$24</definedName>
    <definedName name="Revenue_Subprojects_Canoes_Products">'(Ranges)'!$A$24:$H$24</definedName>
    <definedName name="Revenue_Subprojects_Canoes_Products_Product_1">'(Ranges)'!$A$23:$H$23</definedName>
    <definedName name="Revenue_Subprojects_Catamarans">'(Ranges)'!$A$22:$H$22</definedName>
    <definedName name="Revenue_Subprojects_Catamarans_Products">'(Ranges)'!$A$22:$H$22</definedName>
    <definedName name="Revenue_Subprojects_Catamarans_Products_Product_1">'(Ranges)'!$A$21:$H$21</definedName>
    <definedName name="Revenue_Time_Period">'(Ranges)'!$A$26:$H$26</definedName>
    <definedName name="Valuation_BlendedFin_Date">'(Ranges)'!$A$93:$I$93</definedName>
    <definedName name="Valuation_BlendedFin_Subprojects">'(Ranges)'!$A$91:$I$91</definedName>
    <definedName name="Valuation_BlendedFin_Subprojects_Canoes">'(Ranges)'!$A$90:$I$90</definedName>
    <definedName name="Valuation_BlendedFin_Subprojects_Catamarans">'(Ranges)'!$A$89:$I$89</definedName>
    <definedName name="Valuation_BlendedFin_Time_Period">'(Ranges)'!$A$92:$I$92</definedName>
    <definedName name="Valuation_EquityFin_Date">'(Ranges)'!$A$88:$I$88</definedName>
    <definedName name="Valuation_EquityFin_Subprojects">'(Ranges)'!$A$86:$I$86</definedName>
    <definedName name="Valuation_EquityFin_Subprojects_Canoes">'(Ranges)'!$A$85:$I$85</definedName>
    <definedName name="Valuation_EquityFin_Subprojects_Catamarans">'(Ranges)'!$A$84:$I$84</definedName>
    <definedName name="Valuation_EquityFin_Time_Period">'(Ranges)'!$A$87:$I$87</definedName>
    <definedName name="Valuation_plt_Date">'(Ranges)'!$A$160:$I$160</definedName>
    <definedName name="Valuation_plt_Subprojects">'(Ranges)'!$A$158:$I$158</definedName>
    <definedName name="Valuation_plt_Subprojects_Canoes">'(Ranges)'!$A$157:$I$157</definedName>
    <definedName name="Valuation_plt_Subprojects_Catamarans">'(Ranges)'!$A$156:$I$156</definedName>
    <definedName name="Valuation_plt_Time_Period">'(Ranges)'!$A$159:$I$159</definedName>
  </definedNames>
  <calcPr calcId="152511"/>
</workbook>
</file>

<file path=xl/calcChain.xml><?xml version="1.0" encoding="utf-8"?>
<calcChain xmlns="http://schemas.openxmlformats.org/spreadsheetml/2006/main">
  <c r="A1" i="2" l="1"/>
  <c r="A2" i="2"/>
  <c r="A3" i="2"/>
  <c r="A4" i="2"/>
  <c r="A5" i="2"/>
  <c r="A6" i="2"/>
  <c r="A7" i="2"/>
  <c r="A9" i="2"/>
  <c r="A12" i="2"/>
  <c r="A13" i="2"/>
  <c r="A14" i="2"/>
  <c r="A15" i="2"/>
  <c r="E16" i="2"/>
  <c r="F16" i="2"/>
  <c r="G16" i="2"/>
  <c r="H16" i="2"/>
  <c r="I16" i="2"/>
  <c r="J16" i="2"/>
  <c r="K16" i="2"/>
  <c r="L16" i="2"/>
  <c r="A17" i="2"/>
  <c r="B17" i="2"/>
  <c r="E17" i="2"/>
  <c r="G17" i="2"/>
  <c r="E52" i="3" s="1"/>
  <c r="H17" i="2"/>
  <c r="I17" i="2"/>
  <c r="J17" i="2"/>
  <c r="G52" i="3" s="1"/>
  <c r="K17" i="2"/>
  <c r="B5" i="15" s="1"/>
  <c r="B227" i="15" s="1"/>
  <c r="B18" i="2"/>
  <c r="E18" i="2"/>
  <c r="G18" i="2"/>
  <c r="H18" i="2"/>
  <c r="F53" i="3" s="1"/>
  <c r="I18" i="2"/>
  <c r="J18" i="2"/>
  <c r="K18" i="2"/>
  <c r="A19" i="2"/>
  <c r="B19" i="2"/>
  <c r="E19" i="2"/>
  <c r="G19" i="2"/>
  <c r="E56" i="3" s="1"/>
  <c r="H19" i="2"/>
  <c r="F56" i="3" s="1"/>
  <c r="I19" i="2"/>
  <c r="J19" i="2"/>
  <c r="K19" i="2"/>
  <c r="B20" i="2"/>
  <c r="E20" i="2"/>
  <c r="G20" i="2"/>
  <c r="H20" i="2"/>
  <c r="I20" i="2"/>
  <c r="J20" i="2"/>
  <c r="K20" i="2"/>
  <c r="A21" i="2"/>
  <c r="E23" i="2"/>
  <c r="F23" i="2"/>
  <c r="A24" i="2"/>
  <c r="B24" i="2"/>
  <c r="C24" i="2"/>
  <c r="E24" i="2"/>
  <c r="F24" i="2"/>
  <c r="C25" i="2"/>
  <c r="E25" i="2"/>
  <c r="C23" i="3" s="1"/>
  <c r="F25" i="2"/>
  <c r="B26" i="2"/>
  <c r="C26" i="2"/>
  <c r="E26" i="2"/>
  <c r="C26" i="3" s="1"/>
  <c r="F26" i="2"/>
  <c r="C27" i="2"/>
  <c r="E27" i="2"/>
  <c r="F27" i="2"/>
  <c r="A28" i="2"/>
  <c r="B28" i="2"/>
  <c r="C28" i="2"/>
  <c r="E28" i="2"/>
  <c r="F28" i="2" s="1"/>
  <c r="H52" i="3" s="1"/>
  <c r="C29" i="2"/>
  <c r="E29" i="2"/>
  <c r="B30" i="2"/>
  <c r="C30" i="2"/>
  <c r="E30" i="2"/>
  <c r="F30" i="2" s="1"/>
  <c r="C31" i="2"/>
  <c r="E31" i="2"/>
  <c r="F31" i="2" s="1"/>
  <c r="A34" i="2"/>
  <c r="A35" i="2"/>
  <c r="E36" i="2"/>
  <c r="F36" i="2"/>
  <c r="A37" i="2"/>
  <c r="B37" i="2"/>
  <c r="E37" i="2"/>
  <c r="F37" i="2"/>
  <c r="B38" i="2"/>
  <c r="E38" i="2"/>
  <c r="F38" i="2"/>
  <c r="A40" i="2"/>
  <c r="B40" i="2"/>
  <c r="E40" i="2"/>
  <c r="F40" i="2"/>
  <c r="B41" i="2"/>
  <c r="E41" i="2"/>
  <c r="B11" i="15" s="1"/>
  <c r="B12" i="15" s="1"/>
  <c r="F41" i="2"/>
  <c r="A43" i="2"/>
  <c r="B43" i="2"/>
  <c r="E43" i="2"/>
  <c r="B15" i="15" s="1"/>
  <c r="B17" i="15" s="1"/>
  <c r="F43" i="2"/>
  <c r="B44" i="2"/>
  <c r="E44" i="2"/>
  <c r="F44" i="2"/>
  <c r="C16" i="15" s="1"/>
  <c r="A48" i="2"/>
  <c r="A49" i="2"/>
  <c r="E50" i="2"/>
  <c r="F50" i="2"/>
  <c r="A51" i="2"/>
  <c r="B51" i="2"/>
  <c r="E51" i="2"/>
  <c r="F51" i="2"/>
  <c r="C20" i="15" s="1"/>
  <c r="A54" i="2"/>
  <c r="B54" i="2"/>
  <c r="C54" i="2"/>
  <c r="F54" i="2"/>
  <c r="B55" i="2"/>
  <c r="C55" i="2"/>
  <c r="F55" i="2"/>
  <c r="G55" i="2" s="1"/>
  <c r="A57" i="2"/>
  <c r="B57" i="2"/>
  <c r="C57" i="2"/>
  <c r="E57" i="2"/>
  <c r="F57" i="2" s="1"/>
  <c r="B58" i="2"/>
  <c r="C58" i="2"/>
  <c r="E58" i="2"/>
  <c r="F58" i="2" s="1"/>
  <c r="A60" i="2"/>
  <c r="A61" i="2"/>
  <c r="A63" i="2"/>
  <c r="B63" i="2"/>
  <c r="C63" i="2"/>
  <c r="B64" i="2"/>
  <c r="C64" i="2"/>
  <c r="A66" i="2"/>
  <c r="A67" i="2"/>
  <c r="B67" i="2"/>
  <c r="C67" i="2"/>
  <c r="B68" i="2"/>
  <c r="C68" i="2"/>
  <c r="A73" i="2"/>
  <c r="A74" i="2"/>
  <c r="A76" i="2"/>
  <c r="B76" i="2"/>
  <c r="C76" i="2"/>
  <c r="E76" i="2"/>
  <c r="F76" i="2"/>
  <c r="G76" i="2" s="1"/>
  <c r="H76" i="2" s="1"/>
  <c r="J76" i="2" s="1"/>
  <c r="C77" i="2"/>
  <c r="E77" i="2"/>
  <c r="B67" i="15" s="1"/>
  <c r="B78" i="2"/>
  <c r="C78" i="2"/>
  <c r="E78" i="2"/>
  <c r="F78" i="2" s="1"/>
  <c r="G78" i="2" s="1"/>
  <c r="H78" i="2"/>
  <c r="C79" i="2"/>
  <c r="E79" i="2"/>
  <c r="F79" i="2" s="1"/>
  <c r="E81" i="2"/>
  <c r="F81" i="2"/>
  <c r="A82" i="2"/>
  <c r="B82" i="2"/>
  <c r="E82" i="2"/>
  <c r="F82" i="2"/>
  <c r="C79" i="15" s="1"/>
  <c r="B83" i="2"/>
  <c r="E83" i="2"/>
  <c r="F83" i="2"/>
  <c r="A86" i="2"/>
  <c r="B86" i="2"/>
  <c r="C86" i="2"/>
  <c r="E86" i="2"/>
  <c r="F86" i="2"/>
  <c r="C85" i="15" s="1"/>
  <c r="C99" i="15" s="1"/>
  <c r="G86" i="2"/>
  <c r="H86" i="2"/>
  <c r="I86" i="2"/>
  <c r="J86" i="2"/>
  <c r="G85" i="15" s="1"/>
  <c r="K86" i="2"/>
  <c r="L86" i="2"/>
  <c r="C87" i="2"/>
  <c r="E87" i="2"/>
  <c r="B86" i="15" s="1"/>
  <c r="F87" i="2"/>
  <c r="G87" i="2"/>
  <c r="H87" i="2"/>
  <c r="I87" i="2"/>
  <c r="F86" i="15" s="1"/>
  <c r="F100" i="15" s="1"/>
  <c r="J87" i="2"/>
  <c r="K87" i="2"/>
  <c r="L87" i="2"/>
  <c r="B88" i="2"/>
  <c r="C88" i="2"/>
  <c r="E88" i="2"/>
  <c r="F88" i="2"/>
  <c r="G88" i="2"/>
  <c r="D89" i="15" s="1"/>
  <c r="D103" i="15" s="1"/>
  <c r="H88" i="2"/>
  <c r="I88" i="2"/>
  <c r="J88" i="2"/>
  <c r="K88" i="2"/>
  <c r="H89" i="15" s="1"/>
  <c r="L88" i="2"/>
  <c r="C89" i="2"/>
  <c r="E89" i="2"/>
  <c r="F89" i="2"/>
  <c r="C90" i="15" s="1"/>
  <c r="C104" i="15" s="1"/>
  <c r="G89" i="2"/>
  <c r="H89" i="2"/>
  <c r="I89" i="2"/>
  <c r="J89" i="2"/>
  <c r="G90" i="15" s="1"/>
  <c r="G104" i="15" s="1"/>
  <c r="K89" i="2"/>
  <c r="L89" i="2"/>
  <c r="A91" i="2"/>
  <c r="A92" i="2"/>
  <c r="A93" i="2"/>
  <c r="A95" i="2"/>
  <c r="B95" i="2"/>
  <c r="C95" i="2"/>
  <c r="C96" i="2"/>
  <c r="B97" i="2"/>
  <c r="C97" i="2"/>
  <c r="C98" i="2"/>
  <c r="A100" i="2"/>
  <c r="A101" i="2"/>
  <c r="B101" i="2"/>
  <c r="C101" i="2"/>
  <c r="C102" i="2"/>
  <c r="B103" i="2"/>
  <c r="C103" i="2"/>
  <c r="C104" i="2"/>
  <c r="A108" i="2"/>
  <c r="E108" i="2"/>
  <c r="G108" i="2" s="1"/>
  <c r="H108" i="2" s="1"/>
  <c r="F108" i="2"/>
  <c r="I108" i="2"/>
  <c r="J108" i="2" s="1"/>
  <c r="A112" i="2"/>
  <c r="A113" i="2"/>
  <c r="A114" i="2"/>
  <c r="A115" i="2"/>
  <c r="A116" i="2"/>
  <c r="A118" i="2"/>
  <c r="A119" i="2"/>
  <c r="A121" i="2"/>
  <c r="B121" i="2"/>
  <c r="E121" i="2"/>
  <c r="B122" i="2"/>
  <c r="A124" i="2"/>
  <c r="A125" i="2"/>
  <c r="A126" i="2"/>
  <c r="B126" i="2"/>
  <c r="E126" i="2"/>
  <c r="B127" i="2"/>
  <c r="E127" i="2"/>
  <c r="A130" i="2"/>
  <c r="E130" i="2"/>
  <c r="A132" i="2"/>
  <c r="E132" i="2"/>
  <c r="F132" i="2"/>
  <c r="K132" i="2"/>
  <c r="P132" i="2"/>
  <c r="A136" i="2"/>
  <c r="A137" i="2"/>
  <c r="A138" i="2"/>
  <c r="A139" i="2"/>
  <c r="A141" i="2"/>
  <c r="A142" i="2"/>
  <c r="E143" i="2"/>
  <c r="F143" i="2"/>
  <c r="G143" i="2"/>
  <c r="A144" i="2"/>
  <c r="B144" i="2"/>
  <c r="C144" i="2"/>
  <c r="D144" i="2"/>
  <c r="F144" i="2"/>
  <c r="G144" i="2"/>
  <c r="E144" i="2" s="1"/>
  <c r="D145" i="2"/>
  <c r="F145" i="2"/>
  <c r="G145" i="2"/>
  <c r="C146" i="2"/>
  <c r="D146" i="2"/>
  <c r="F146" i="2"/>
  <c r="G146" i="2"/>
  <c r="D147" i="2"/>
  <c r="F147" i="2"/>
  <c r="G147" i="2"/>
  <c r="B148" i="2"/>
  <c r="C148" i="2"/>
  <c r="D148" i="2"/>
  <c r="F148" i="2"/>
  <c r="G148" i="2"/>
  <c r="D149" i="2"/>
  <c r="F149" i="2"/>
  <c r="G149" i="2"/>
  <c r="C150" i="2"/>
  <c r="D150" i="2"/>
  <c r="F150" i="2"/>
  <c r="G150" i="2"/>
  <c r="E150" i="2" s="1"/>
  <c r="D151" i="2"/>
  <c r="F151" i="2"/>
  <c r="G151" i="2"/>
  <c r="B152" i="2"/>
  <c r="C152" i="2"/>
  <c r="D152" i="2"/>
  <c r="F152" i="2"/>
  <c r="G152" i="2"/>
  <c r="D153" i="2"/>
  <c r="F153" i="2"/>
  <c r="G153" i="2"/>
  <c r="C154" i="2"/>
  <c r="D154" i="2"/>
  <c r="F154" i="2"/>
  <c r="G154" i="2"/>
  <c r="D155" i="2"/>
  <c r="F155" i="2"/>
  <c r="E155" i="2" s="1"/>
  <c r="G155" i="2"/>
  <c r="A158" i="2"/>
  <c r="A159" i="2"/>
  <c r="A161" i="2"/>
  <c r="B161" i="2"/>
  <c r="C161" i="2"/>
  <c r="E161" i="2"/>
  <c r="C162" i="2"/>
  <c r="B163" i="2"/>
  <c r="C163" i="2"/>
  <c r="E163" i="2"/>
  <c r="F163" i="2" s="1"/>
  <c r="G163" i="2"/>
  <c r="C164" i="2"/>
  <c r="E166" i="2"/>
  <c r="F166" i="2"/>
  <c r="A167" i="2"/>
  <c r="B167" i="2"/>
  <c r="E167" i="2"/>
  <c r="F167" i="2"/>
  <c r="B168" i="2"/>
  <c r="E168" i="2"/>
  <c r="F168" i="2"/>
  <c r="A171" i="2"/>
  <c r="A172" i="2"/>
  <c r="A173" i="2"/>
  <c r="A174" i="2"/>
  <c r="A176" i="2"/>
  <c r="B176" i="2"/>
  <c r="C176" i="2"/>
  <c r="E176" i="2"/>
  <c r="C177" i="2"/>
  <c r="E177" i="2"/>
  <c r="B178" i="2"/>
  <c r="C178" i="2"/>
  <c r="C179" i="2"/>
  <c r="E179" i="2"/>
  <c r="F179" i="2" s="1"/>
  <c r="E181" i="2"/>
  <c r="F181" i="2"/>
  <c r="A182" i="2"/>
  <c r="B182" i="2"/>
  <c r="E182" i="2"/>
  <c r="F182" i="2"/>
  <c r="B183" i="2"/>
  <c r="E183" i="2"/>
  <c r="F183" i="2"/>
  <c r="A186" i="2"/>
  <c r="A187" i="2"/>
  <c r="A188" i="2"/>
  <c r="B188" i="2"/>
  <c r="E188" i="2"/>
  <c r="B189" i="2"/>
  <c r="E189" i="2"/>
  <c r="A191" i="2"/>
  <c r="B191" i="2"/>
  <c r="E191" i="2"/>
  <c r="B192" i="2"/>
  <c r="E192" i="2"/>
  <c r="A197" i="2"/>
  <c r="A198" i="2"/>
  <c r="A199" i="2"/>
  <c r="A200" i="2"/>
  <c r="A202" i="2"/>
  <c r="B202" i="2"/>
  <c r="E202" i="2"/>
  <c r="B203" i="2"/>
  <c r="E203" i="2"/>
  <c r="B152" i="15" s="1"/>
  <c r="A204" i="2"/>
  <c r="B204" i="2"/>
  <c r="E204" i="2"/>
  <c r="B205" i="2"/>
  <c r="E205" i="2"/>
  <c r="A1" i="3"/>
  <c r="A2" i="3"/>
  <c r="A3" i="3"/>
  <c r="A4" i="3"/>
  <c r="A5" i="3"/>
  <c r="A6" i="3"/>
  <c r="A7" i="3"/>
  <c r="B8" i="3"/>
  <c r="C8" i="3"/>
  <c r="D8" i="3"/>
  <c r="A9" i="3"/>
  <c r="B11" i="3"/>
  <c r="C11" i="3"/>
  <c r="D11" i="3"/>
  <c r="E11" i="3"/>
  <c r="A14" i="3"/>
  <c r="A18" i="3"/>
  <c r="A19" i="3"/>
  <c r="C19" i="3"/>
  <c r="D19" i="3"/>
  <c r="E19" i="3"/>
  <c r="B20" i="3"/>
  <c r="A21" i="3"/>
  <c r="A22" i="3"/>
  <c r="B22" i="3"/>
  <c r="C22" i="3"/>
  <c r="A23" i="3"/>
  <c r="B23" i="3"/>
  <c r="A24" i="3"/>
  <c r="B24" i="3"/>
  <c r="A25" i="3"/>
  <c r="A26" i="3"/>
  <c r="B26" i="3"/>
  <c r="D26" i="3"/>
  <c r="A27" i="3"/>
  <c r="B27" i="3"/>
  <c r="C27" i="3"/>
  <c r="D27" i="3"/>
  <c r="A28" i="3"/>
  <c r="B28" i="3"/>
  <c r="A29" i="3"/>
  <c r="B29" i="3"/>
  <c r="A30" i="3"/>
  <c r="B30" i="3"/>
  <c r="A31" i="3"/>
  <c r="B31" i="3"/>
  <c r="A32" i="3"/>
  <c r="B32" i="3"/>
  <c r="B34" i="3"/>
  <c r="C34" i="3"/>
  <c r="D34" i="3"/>
  <c r="E34" i="3"/>
  <c r="F34" i="3"/>
  <c r="A35" i="3"/>
  <c r="A36" i="3"/>
  <c r="B36" i="3"/>
  <c r="A37" i="3"/>
  <c r="B37" i="3"/>
  <c r="E37" i="3"/>
  <c r="A38" i="3"/>
  <c r="B38" i="3"/>
  <c r="A39" i="3"/>
  <c r="A40" i="3"/>
  <c r="B40" i="3"/>
  <c r="E40" i="3"/>
  <c r="A41" i="3"/>
  <c r="B41" i="3"/>
  <c r="E41" i="3"/>
  <c r="A42" i="3"/>
  <c r="B42" i="3"/>
  <c r="E42" i="3"/>
  <c r="A43" i="3"/>
  <c r="B43" i="3"/>
  <c r="A44" i="3"/>
  <c r="B44" i="3"/>
  <c r="A45" i="3"/>
  <c r="B45" i="3"/>
  <c r="A46" i="3"/>
  <c r="B46" i="3"/>
  <c r="A48" i="3"/>
  <c r="A49" i="3"/>
  <c r="B50" i="3"/>
  <c r="C50" i="3"/>
  <c r="D50" i="3"/>
  <c r="E50" i="3"/>
  <c r="F50" i="3"/>
  <c r="G50" i="3"/>
  <c r="H50" i="3"/>
  <c r="A51" i="3"/>
  <c r="A52" i="3"/>
  <c r="B52" i="3"/>
  <c r="D52" i="3"/>
  <c r="F52" i="3"/>
  <c r="A53" i="3"/>
  <c r="B53" i="3"/>
  <c r="D53" i="3"/>
  <c r="E53" i="3"/>
  <c r="G53" i="3"/>
  <c r="A54" i="3"/>
  <c r="B54" i="3"/>
  <c r="A55" i="3"/>
  <c r="A56" i="3"/>
  <c r="B56" i="3"/>
  <c r="D56" i="3"/>
  <c r="G56" i="3"/>
  <c r="H56" i="3"/>
  <c r="A57" i="3"/>
  <c r="B57" i="3"/>
  <c r="E57" i="3"/>
  <c r="F57" i="3"/>
  <c r="G57" i="3"/>
  <c r="A58" i="3"/>
  <c r="B58" i="3"/>
  <c r="G58" i="3"/>
  <c r="A59" i="3"/>
  <c r="B59" i="3"/>
  <c r="A60" i="3"/>
  <c r="B60" i="3"/>
  <c r="G60" i="3"/>
  <c r="A61" i="3"/>
  <c r="B61" i="3"/>
  <c r="A62" i="3"/>
  <c r="B62" i="3"/>
  <c r="A66" i="3"/>
  <c r="A67" i="3"/>
  <c r="A69" i="3"/>
  <c r="A70" i="3"/>
  <c r="A71" i="3"/>
  <c r="A72" i="3"/>
  <c r="A73" i="3"/>
  <c r="A74" i="3"/>
  <c r="A75" i="3"/>
  <c r="A76" i="3"/>
  <c r="A77" i="3"/>
  <c r="A78" i="3"/>
  <c r="A79" i="3"/>
  <c r="A80" i="3"/>
  <c r="A81" i="3"/>
  <c r="A85" i="3"/>
  <c r="A86" i="3"/>
  <c r="B87" i="3"/>
  <c r="C87" i="3"/>
  <c r="D87" i="3"/>
  <c r="E87" i="3"/>
  <c r="A88" i="3"/>
  <c r="A89" i="3"/>
  <c r="A90" i="3"/>
  <c r="A91" i="3"/>
  <c r="A92" i="3"/>
  <c r="A93" i="3"/>
  <c r="A94" i="3"/>
  <c r="A95" i="3"/>
  <c r="A96" i="3"/>
  <c r="A97" i="3"/>
  <c r="A98" i="3"/>
  <c r="A99" i="3"/>
  <c r="A100" i="3"/>
  <c r="A102" i="3"/>
  <c r="A103" i="3"/>
  <c r="A104" i="3"/>
  <c r="A105" i="3"/>
  <c r="A109" i="3"/>
  <c r="A110" i="3"/>
  <c r="A112" i="3"/>
  <c r="A114" i="3"/>
  <c r="A116" i="3"/>
  <c r="A117" i="3"/>
  <c r="A119" i="3"/>
  <c r="A120" i="3"/>
  <c r="A121" i="3"/>
  <c r="A122" i="3"/>
  <c r="A123" i="3"/>
  <c r="A124" i="3"/>
  <c r="A125" i="3"/>
  <c r="A126" i="3"/>
  <c r="A127" i="3"/>
  <c r="A129" i="3"/>
  <c r="A130" i="3"/>
  <c r="A132" i="3"/>
  <c r="A133" i="3"/>
  <c r="A134" i="3"/>
  <c r="A135" i="3"/>
  <c r="A136" i="3"/>
  <c r="A137" i="3"/>
  <c r="A138" i="3"/>
  <c r="A139" i="3"/>
  <c r="A140" i="3"/>
  <c r="A141" i="3"/>
  <c r="A142" i="3"/>
  <c r="A143" i="3"/>
  <c r="A144" i="3"/>
  <c r="A146" i="3"/>
  <c r="A147" i="3"/>
  <c r="A148" i="3"/>
  <c r="A149" i="3"/>
  <c r="A150" i="3"/>
  <c r="A151" i="3"/>
  <c r="A152" i="3"/>
  <c r="A153" i="3"/>
  <c r="A154" i="3"/>
  <c r="A155" i="3"/>
  <c r="A156" i="3"/>
  <c r="A157" i="3"/>
  <c r="A158" i="3"/>
  <c r="A1" i="4"/>
  <c r="A2" i="4"/>
  <c r="A3" i="4"/>
  <c r="A4" i="4"/>
  <c r="A5" i="4"/>
  <c r="A6" i="4"/>
  <c r="A8" i="4"/>
  <c r="A10" i="4"/>
  <c r="A12" i="4"/>
  <c r="A13" i="4"/>
  <c r="A15" i="4"/>
  <c r="A17" i="4"/>
  <c r="A18" i="4"/>
  <c r="A19" i="4"/>
  <c r="A20" i="4"/>
  <c r="A21" i="4"/>
  <c r="A23" i="4"/>
  <c r="A27" i="4"/>
  <c r="A28" i="4"/>
  <c r="A30" i="4"/>
  <c r="A31" i="4"/>
  <c r="A32" i="4"/>
  <c r="A33" i="4"/>
  <c r="A35" i="4"/>
  <c r="A36" i="4"/>
  <c r="A37" i="4"/>
  <c r="A38" i="4"/>
  <c r="A40" i="4"/>
  <c r="A41" i="4"/>
  <c r="A42" i="4"/>
  <c r="A43" i="4"/>
  <c r="A45" i="4"/>
  <c r="A46" i="4"/>
  <c r="A47" i="4"/>
  <c r="A48" i="4"/>
  <c r="A50" i="4"/>
  <c r="A51" i="4"/>
  <c r="A52" i="4"/>
  <c r="A53" i="4"/>
  <c r="A55" i="4"/>
  <c r="A56" i="4"/>
  <c r="A57" i="4"/>
  <c r="A58" i="4"/>
  <c r="A60" i="4"/>
  <c r="A61" i="4"/>
  <c r="A62" i="4"/>
  <c r="A63" i="4"/>
  <c r="A65" i="4"/>
  <c r="A66" i="4"/>
  <c r="A67" i="4"/>
  <c r="A68" i="4"/>
  <c r="A69" i="4"/>
  <c r="A70" i="4"/>
  <c r="A71" i="4"/>
  <c r="A72" i="4"/>
  <c r="A73" i="4"/>
  <c r="A74" i="4"/>
  <c r="A75" i="4"/>
  <c r="A76" i="4"/>
  <c r="A77" i="4"/>
  <c r="A78" i="4"/>
  <c r="A79" i="4"/>
  <c r="A80" i="4"/>
  <c r="A81" i="4"/>
  <c r="A83" i="4"/>
  <c r="A84" i="4"/>
  <c r="A85" i="4"/>
  <c r="A86" i="4"/>
  <c r="A90" i="4"/>
  <c r="A91" i="4"/>
  <c r="A93" i="4"/>
  <c r="A94" i="4"/>
  <c r="A95" i="4"/>
  <c r="A96" i="4"/>
  <c r="A97" i="4"/>
  <c r="A98" i="4"/>
  <c r="A99" i="4"/>
  <c r="A100" i="4"/>
  <c r="A101" i="4"/>
  <c r="A102" i="4"/>
  <c r="A104" i="4"/>
  <c r="A105" i="4"/>
  <c r="A106" i="4"/>
  <c r="A107" i="4"/>
  <c r="A108" i="4"/>
  <c r="A109" i="4"/>
  <c r="A110" i="4"/>
  <c r="A111" i="4"/>
  <c r="A112" i="4"/>
  <c r="A113" i="4"/>
  <c r="A115" i="4"/>
  <c r="A116" i="4"/>
  <c r="A117" i="4"/>
  <c r="B117" i="4"/>
  <c r="A118" i="4"/>
  <c r="A119" i="4"/>
  <c r="A120" i="4"/>
  <c r="B120" i="4"/>
  <c r="A121" i="4"/>
  <c r="A122" i="4"/>
  <c r="A123" i="4"/>
  <c r="A124" i="4"/>
  <c r="A126" i="4"/>
  <c r="A127" i="4"/>
  <c r="A128" i="4"/>
  <c r="F128" i="4"/>
  <c r="A129" i="4"/>
  <c r="F129" i="4"/>
  <c r="A130" i="4"/>
  <c r="A131" i="4"/>
  <c r="F131" i="4"/>
  <c r="A132" i="4"/>
  <c r="F132" i="4"/>
  <c r="A133" i="4"/>
  <c r="F133" i="4"/>
  <c r="A134" i="4"/>
  <c r="F134" i="4"/>
  <c r="A135" i="4"/>
  <c r="F135" i="4"/>
  <c r="A139" i="4"/>
  <c r="A140" i="4"/>
  <c r="A142" i="4"/>
  <c r="A143" i="4"/>
  <c r="A144" i="4"/>
  <c r="A145" i="4"/>
  <c r="A146" i="4"/>
  <c r="A147" i="4"/>
  <c r="A148" i="4"/>
  <c r="A149" i="4"/>
  <c r="A150" i="4"/>
  <c r="A151" i="4"/>
  <c r="A152" i="4"/>
  <c r="A153" i="4"/>
  <c r="A154" i="4"/>
  <c r="A156" i="4"/>
  <c r="A157" i="4"/>
  <c r="A158" i="4"/>
  <c r="A159" i="4"/>
  <c r="A160" i="4"/>
  <c r="A161" i="4"/>
  <c r="A162" i="4"/>
  <c r="A163" i="4"/>
  <c r="A164" i="4"/>
  <c r="A165" i="4"/>
  <c r="A166" i="4"/>
  <c r="A167" i="4"/>
  <c r="A168" i="4"/>
  <c r="A170" i="4"/>
  <c r="A171" i="4"/>
  <c r="A172" i="4"/>
  <c r="A173" i="4"/>
  <c r="A174" i="4"/>
  <c r="A175" i="4"/>
  <c r="A176" i="4"/>
  <c r="A177" i="4"/>
  <c r="A178" i="4"/>
  <c r="A179" i="4"/>
  <c r="A180" i="4"/>
  <c r="A181" i="4"/>
  <c r="A182" i="4"/>
  <c r="A184" i="4"/>
  <c r="A185" i="4"/>
  <c r="A186" i="4"/>
  <c r="A187" i="4"/>
  <c r="A188" i="4"/>
  <c r="A189" i="4"/>
  <c r="A190" i="4"/>
  <c r="A191" i="4"/>
  <c r="A192" i="4"/>
  <c r="A193" i="4"/>
  <c r="A194" i="4"/>
  <c r="A195" i="4"/>
  <c r="A196" i="4"/>
  <c r="A1" i="5"/>
  <c r="A2" i="5"/>
  <c r="A3" i="5"/>
  <c r="A4" i="5"/>
  <c r="A5" i="5"/>
  <c r="A6" i="5"/>
  <c r="A8" i="5"/>
  <c r="A9" i="5"/>
  <c r="A10" i="5"/>
  <c r="A11" i="5"/>
  <c r="A13" i="5"/>
  <c r="A14" i="5"/>
  <c r="A16" i="5"/>
  <c r="A17" i="5"/>
  <c r="A18" i="5"/>
  <c r="B18" i="5"/>
  <c r="A19" i="5"/>
  <c r="A20" i="5"/>
  <c r="A21" i="5"/>
  <c r="A22" i="5"/>
  <c r="B22" i="5"/>
  <c r="A23" i="5"/>
  <c r="A24" i="5"/>
  <c r="A25" i="5"/>
  <c r="B25" i="5"/>
  <c r="A26" i="5"/>
  <c r="A27" i="5"/>
  <c r="A28" i="5"/>
  <c r="A29" i="5"/>
  <c r="B29" i="5"/>
  <c r="C29" i="5"/>
  <c r="A30" i="5"/>
  <c r="A31" i="5"/>
  <c r="A32" i="5"/>
  <c r="A33" i="5"/>
  <c r="A34" i="5"/>
  <c r="A35" i="5"/>
  <c r="A36" i="5"/>
  <c r="A37" i="5"/>
  <c r="A39" i="5"/>
  <c r="A40" i="5"/>
  <c r="A42" i="5"/>
  <c r="A43" i="5"/>
  <c r="A44" i="5"/>
  <c r="A45" i="5"/>
  <c r="A46" i="5"/>
  <c r="A47" i="5"/>
  <c r="A48" i="5"/>
  <c r="A49" i="5"/>
  <c r="A50" i="5"/>
  <c r="A51" i="5"/>
  <c r="A52" i="5"/>
  <c r="A53" i="5"/>
  <c r="A54" i="5"/>
  <c r="A56" i="5"/>
  <c r="A57"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101" i="5"/>
  <c r="A102" i="5"/>
  <c r="A104" i="5"/>
  <c r="A105" i="5"/>
  <c r="A106" i="5"/>
  <c r="A107" i="5"/>
  <c r="A109" i="5"/>
  <c r="A110" i="5"/>
  <c r="A111" i="5"/>
  <c r="A112" i="5"/>
  <c r="A114" i="5"/>
  <c r="A115" i="5"/>
  <c r="A117" i="5"/>
  <c r="A118" i="5"/>
  <c r="A119" i="5"/>
  <c r="A120" i="5"/>
  <c r="A121" i="5"/>
  <c r="A122" i="5"/>
  <c r="A123" i="5"/>
  <c r="A124" i="5"/>
  <c r="A125" i="5"/>
  <c r="A126" i="5"/>
  <c r="A127" i="5"/>
  <c r="A128" i="5"/>
  <c r="A129" i="5"/>
  <c r="A131" i="5"/>
  <c r="A133" i="5"/>
  <c r="A134" i="5"/>
  <c r="A135" i="5"/>
  <c r="A136" i="5"/>
  <c r="A137" i="5"/>
  <c r="A138" i="5"/>
  <c r="A139" i="5"/>
  <c r="A140" i="5"/>
  <c r="A141" i="5"/>
  <c r="A142" i="5"/>
  <c r="A143" i="5"/>
  <c r="A144" i="5"/>
  <c r="A145" i="5"/>
  <c r="A150" i="5"/>
  <c r="A151" i="5"/>
  <c r="A153" i="5"/>
  <c r="A154" i="5"/>
  <c r="A155" i="5"/>
  <c r="A156" i="5"/>
  <c r="B158" i="5"/>
  <c r="C158" i="5"/>
  <c r="D158" i="5"/>
  <c r="E158" i="5"/>
  <c r="F158" i="5"/>
  <c r="G158" i="5"/>
  <c r="A159" i="5"/>
  <c r="A160" i="5"/>
  <c r="A161" i="5"/>
  <c r="A162" i="5"/>
  <c r="A164" i="5"/>
  <c r="A165" i="5"/>
  <c r="A166" i="5"/>
  <c r="A167" i="5"/>
  <c r="A169" i="5"/>
  <c r="A170"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8" i="5"/>
  <c r="A199" i="5"/>
  <c r="A200" i="5"/>
  <c r="A201" i="5"/>
  <c r="A202" i="5"/>
  <c r="A203" i="5"/>
  <c r="A206" i="5"/>
  <c r="A207" i="5"/>
  <c r="A208" i="5"/>
  <c r="B208" i="5"/>
  <c r="B212" i="5" s="1"/>
  <c r="A211" i="5"/>
  <c r="A212" i="5"/>
  <c r="C212" i="5"/>
  <c r="A213" i="5"/>
  <c r="A214" i="5"/>
  <c r="A216" i="5"/>
  <c r="A217" i="5"/>
  <c r="A218" i="5"/>
  <c r="A219" i="5"/>
  <c r="A220" i="5"/>
  <c r="B220" i="5"/>
  <c r="A221" i="5"/>
  <c r="A223" i="5"/>
  <c r="A224" i="5"/>
  <c r="C224" i="5"/>
  <c r="H224" i="5"/>
  <c r="M224" i="5"/>
  <c r="A225" i="5"/>
  <c r="A226" i="5"/>
  <c r="A227" i="5"/>
  <c r="B227" i="5"/>
  <c r="B235" i="5" s="1"/>
  <c r="A228" i="5"/>
  <c r="A229" i="5"/>
  <c r="A230" i="5"/>
  <c r="A231" i="5"/>
  <c r="B231" i="5"/>
  <c r="C231" i="5"/>
  <c r="A232" i="5"/>
  <c r="A233" i="5"/>
  <c r="A234" i="5"/>
  <c r="A235" i="5"/>
  <c r="A236" i="5"/>
  <c r="A237" i="5"/>
  <c r="A242" i="5"/>
  <c r="A243" i="5"/>
  <c r="A245" i="5"/>
  <c r="A246" i="5"/>
  <c r="A247" i="5"/>
  <c r="A248" i="5"/>
  <c r="A249" i="5"/>
  <c r="A250" i="5"/>
  <c r="A251" i="5"/>
  <c r="A252" i="5"/>
  <c r="A253" i="5"/>
  <c r="A254" i="5"/>
  <c r="A255" i="5"/>
  <c r="A256" i="5"/>
  <c r="A257" i="5"/>
  <c r="A259" i="5"/>
  <c r="A260" i="5"/>
  <c r="A261" i="5"/>
  <c r="A262" i="5"/>
  <c r="A263" i="5"/>
  <c r="A264" i="5"/>
  <c r="A265" i="5"/>
  <c r="A266" i="5"/>
  <c r="A267" i="5"/>
  <c r="A268" i="5"/>
  <c r="A269" i="5"/>
  <c r="A270" i="5"/>
  <c r="A271" i="5"/>
  <c r="A273" i="5"/>
  <c r="A274" i="5"/>
  <c r="A275" i="5"/>
  <c r="A276" i="5"/>
  <c r="A277" i="5"/>
  <c r="A278" i="5"/>
  <c r="A279" i="5"/>
  <c r="A280" i="5"/>
  <c r="A281" i="5"/>
  <c r="A282" i="5"/>
  <c r="A283" i="5"/>
  <c r="A284" i="5"/>
  <c r="A285" i="5"/>
  <c r="A287" i="5"/>
  <c r="A288" i="5"/>
  <c r="A289" i="5"/>
  <c r="A290" i="5"/>
  <c r="A292" i="5"/>
  <c r="A293" i="5"/>
  <c r="A294" i="5"/>
  <c r="A295" i="5"/>
  <c r="A1" i="6"/>
  <c r="A2" i="6"/>
  <c r="A3" i="6"/>
  <c r="A4" i="6"/>
  <c r="A5" i="6"/>
  <c r="A6" i="6"/>
  <c r="A8" i="6"/>
  <c r="A10" i="6"/>
  <c r="A11" i="6"/>
  <c r="A13" i="6"/>
  <c r="A14" i="6"/>
  <c r="B14" i="6"/>
  <c r="C14" i="6"/>
  <c r="A15" i="6"/>
  <c r="A16" i="6"/>
  <c r="A17" i="6"/>
  <c r="A18" i="6"/>
  <c r="A19" i="6"/>
  <c r="A21" i="6"/>
  <c r="A22" i="6"/>
  <c r="A24" i="6"/>
  <c r="A25" i="6"/>
  <c r="A26" i="6"/>
  <c r="A27" i="6"/>
  <c r="A28" i="6"/>
  <c r="A29" i="6"/>
  <c r="A30" i="6"/>
  <c r="A31" i="6"/>
  <c r="A32" i="6"/>
  <c r="A33" i="6"/>
  <c r="A34" i="6"/>
  <c r="A35" i="6"/>
  <c r="A36" i="6"/>
  <c r="A38" i="6"/>
  <c r="A39" i="6"/>
  <c r="A41" i="6"/>
  <c r="A42" i="6"/>
  <c r="A43" i="6"/>
  <c r="A44" i="6"/>
  <c r="A45" i="6"/>
  <c r="A46" i="6"/>
  <c r="A47" i="6"/>
  <c r="A48" i="6"/>
  <c r="A52" i="6"/>
  <c r="A53" i="6"/>
  <c r="A55" i="6"/>
  <c r="B57" i="6"/>
  <c r="C57" i="6"/>
  <c r="D57" i="6"/>
  <c r="E57" i="6"/>
  <c r="F57" i="6"/>
  <c r="G57" i="6"/>
  <c r="A58" i="6"/>
  <c r="A60" i="6"/>
  <c r="A62" i="6"/>
  <c r="A63" i="6"/>
  <c r="A65" i="6"/>
  <c r="A66" i="6"/>
  <c r="A67" i="6"/>
  <c r="A68" i="6"/>
  <c r="A69" i="6"/>
  <c r="A70" i="6"/>
  <c r="A71" i="6"/>
  <c r="A73" i="6"/>
  <c r="A74" i="6"/>
  <c r="A75" i="6"/>
  <c r="A76" i="6"/>
  <c r="A78" i="6"/>
  <c r="A79" i="6"/>
  <c r="B79" i="6"/>
  <c r="C81" i="6" s="1"/>
  <c r="A81" i="6"/>
  <c r="A85" i="6"/>
  <c r="A86" i="6"/>
  <c r="A88" i="6"/>
  <c r="A89" i="6"/>
  <c r="A90" i="6"/>
  <c r="A91" i="6"/>
  <c r="A92" i="6"/>
  <c r="A93" i="6"/>
  <c r="A94" i="6"/>
  <c r="A95" i="6"/>
  <c r="A96" i="6"/>
  <c r="A1" i="7"/>
  <c r="A2" i="7"/>
  <c r="A3" i="7"/>
  <c r="A4" i="7"/>
  <c r="A5" i="7"/>
  <c r="A6" i="7"/>
  <c r="A8" i="7"/>
  <c r="A10" i="7"/>
  <c r="A11" i="7"/>
  <c r="A13" i="7"/>
  <c r="A14" i="7"/>
  <c r="C14" i="7"/>
  <c r="A15" i="7"/>
  <c r="A16" i="7"/>
  <c r="A17" i="7"/>
  <c r="A18" i="7"/>
  <c r="B18" i="7"/>
  <c r="C18" i="7"/>
  <c r="A19" i="7"/>
  <c r="A21" i="7"/>
  <c r="A22" i="7"/>
  <c r="A24" i="7"/>
  <c r="A25" i="7"/>
  <c r="A26" i="7"/>
  <c r="A27" i="7"/>
  <c r="A28" i="7"/>
  <c r="A29" i="7"/>
  <c r="A30" i="7"/>
  <c r="A31" i="7"/>
  <c r="A32" i="7"/>
  <c r="A33" i="7"/>
  <c r="A34" i="7"/>
  <c r="A35" i="7"/>
  <c r="A36" i="7"/>
  <c r="A38" i="7"/>
  <c r="A39" i="7"/>
  <c r="A41" i="7"/>
  <c r="A42" i="7"/>
  <c r="A43" i="7"/>
  <c r="A44" i="7"/>
  <c r="A45" i="7"/>
  <c r="A46" i="7"/>
  <c r="A47" i="7"/>
  <c r="A48" i="7"/>
  <c r="A52" i="7"/>
  <c r="A53" i="7"/>
  <c r="A55" i="7"/>
  <c r="B57" i="7"/>
  <c r="C57" i="7"/>
  <c r="D57" i="7"/>
  <c r="E57" i="7"/>
  <c r="F57" i="7"/>
  <c r="G57" i="7"/>
  <c r="A58" i="7"/>
  <c r="A60" i="7"/>
  <c r="A62" i="7"/>
  <c r="A63" i="7"/>
  <c r="A65" i="7"/>
  <c r="A66" i="7"/>
  <c r="A67" i="7"/>
  <c r="A68" i="7"/>
  <c r="A69" i="7"/>
  <c r="A70" i="7"/>
  <c r="A71" i="7"/>
  <c r="A73" i="7"/>
  <c r="A74" i="7"/>
  <c r="A75" i="7"/>
  <c r="A76" i="7"/>
  <c r="A78" i="7"/>
  <c r="A79" i="7"/>
  <c r="B79" i="7"/>
  <c r="A81" i="7"/>
  <c r="A85" i="7"/>
  <c r="A86" i="7"/>
  <c r="A88" i="7"/>
  <c r="A89" i="7"/>
  <c r="A90" i="7"/>
  <c r="A91" i="7"/>
  <c r="A92" i="7"/>
  <c r="A93" i="7"/>
  <c r="A94" i="7"/>
  <c r="A95" i="7"/>
  <c r="A96" i="7"/>
  <c r="A1" i="8"/>
  <c r="A2" i="8"/>
  <c r="A3" i="8"/>
  <c r="A4" i="8"/>
  <c r="A5" i="8"/>
  <c r="A6" i="8"/>
  <c r="A8" i="8"/>
  <c r="A9" i="8"/>
  <c r="A10" i="8"/>
  <c r="A11" i="8"/>
  <c r="A13" i="8"/>
  <c r="A14" i="8"/>
  <c r="A16" i="8"/>
  <c r="A17" i="8"/>
  <c r="A18" i="8"/>
  <c r="B18" i="8"/>
  <c r="C18" i="8"/>
  <c r="A19" i="8"/>
  <c r="A20" i="8"/>
  <c r="A21" i="8"/>
  <c r="A22" i="8"/>
  <c r="A23" i="8"/>
  <c r="A24" i="8"/>
  <c r="A25" i="8"/>
  <c r="B25" i="8"/>
  <c r="A26" i="8"/>
  <c r="A27" i="8"/>
  <c r="A28" i="8"/>
  <c r="B28" i="8"/>
  <c r="A29" i="8"/>
  <c r="A30" i="8"/>
  <c r="A31" i="8"/>
  <c r="A32" i="8"/>
  <c r="A33" i="8"/>
  <c r="A34" i="8"/>
  <c r="A35" i="8"/>
  <c r="B35" i="8"/>
  <c r="A36" i="8"/>
  <c r="A37" i="8"/>
  <c r="A38" i="8"/>
  <c r="A39" i="8"/>
  <c r="A40" i="8"/>
  <c r="A41" i="8"/>
  <c r="A42" i="8"/>
  <c r="A43" i="8"/>
  <c r="A44" i="8"/>
  <c r="A45" i="8"/>
  <c r="A46" i="8"/>
  <c r="A48" i="8"/>
  <c r="A49" i="8"/>
  <c r="A51" i="8"/>
  <c r="A52" i="8"/>
  <c r="A53" i="8"/>
  <c r="A54" i="8"/>
  <c r="A55" i="8"/>
  <c r="A56" i="8"/>
  <c r="A57" i="8"/>
  <c r="A58" i="8"/>
  <c r="A59" i="8"/>
  <c r="A60" i="8"/>
  <c r="A61" i="8"/>
  <c r="A62" i="8"/>
  <c r="A63" i="8"/>
  <c r="A65" i="8"/>
  <c r="A66"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10" i="8"/>
  <c r="A111" i="8"/>
  <c r="A113" i="8"/>
  <c r="A114" i="8"/>
  <c r="A115" i="8"/>
  <c r="A116" i="8"/>
  <c r="A118" i="8"/>
  <c r="A119" i="8"/>
  <c r="A120" i="8"/>
  <c r="A121" i="8"/>
  <c r="A123" i="8"/>
  <c r="A124" i="8"/>
  <c r="A126" i="8"/>
  <c r="A127" i="8"/>
  <c r="A128" i="8"/>
  <c r="A129" i="8"/>
  <c r="A130" i="8"/>
  <c r="A131" i="8"/>
  <c r="A132" i="8"/>
  <c r="A133" i="8"/>
  <c r="A134" i="8"/>
  <c r="A135" i="8"/>
  <c r="A136" i="8"/>
  <c r="A137" i="8"/>
  <c r="A138" i="8"/>
  <c r="A140" i="8"/>
  <c r="A141" i="8"/>
  <c r="A143" i="8"/>
  <c r="A144" i="8"/>
  <c r="A145" i="8"/>
  <c r="A146" i="8"/>
  <c r="A147" i="8"/>
  <c r="A148" i="8"/>
  <c r="A149" i="8"/>
  <c r="A150" i="8"/>
  <c r="A151" i="8"/>
  <c r="A152" i="8"/>
  <c r="A153" i="8"/>
  <c r="A154" i="8"/>
  <c r="A155" i="8"/>
  <c r="A160" i="8"/>
  <c r="A161" i="8"/>
  <c r="A162" i="8"/>
  <c r="A163"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3" i="8"/>
  <c r="A204" i="8"/>
  <c r="A206" i="8"/>
  <c r="A207" i="8"/>
  <c r="A208" i="8"/>
  <c r="A209" i="8"/>
  <c r="B211" i="8"/>
  <c r="C211" i="8"/>
  <c r="D211" i="8"/>
  <c r="E211" i="8"/>
  <c r="F211" i="8"/>
  <c r="G211" i="8"/>
  <c r="H211" i="8"/>
  <c r="I211" i="8"/>
  <c r="J211" i="8"/>
  <c r="A212" i="8"/>
  <c r="A213" i="8"/>
  <c r="A214" i="8"/>
  <c r="A215" i="8"/>
  <c r="B217" i="8"/>
  <c r="A218" i="8"/>
  <c r="A219" i="8"/>
  <c r="A220" i="8"/>
  <c r="A223" i="8"/>
  <c r="A224" i="8"/>
  <c r="A225" i="8"/>
  <c r="A226" i="8"/>
  <c r="A227" i="8"/>
  <c r="A228" i="8"/>
  <c r="A229" i="8"/>
  <c r="A230" i="8"/>
  <c r="A231" i="8"/>
  <c r="A232" i="8"/>
  <c r="A234" i="8"/>
  <c r="A235" i="8"/>
  <c r="A236" i="8"/>
  <c r="B236" i="8"/>
  <c r="A239" i="8"/>
  <c r="A240" i="8"/>
  <c r="C240" i="8"/>
  <c r="A241" i="8"/>
  <c r="A242" i="8"/>
  <c r="A244" i="8"/>
  <c r="A245" i="8"/>
  <c r="A246" i="8"/>
  <c r="A247" i="8"/>
  <c r="A248" i="8"/>
  <c r="B248" i="8"/>
  <c r="A249" i="8"/>
  <c r="A251" i="8"/>
  <c r="A252" i="8"/>
  <c r="B252" i="8"/>
  <c r="C252" i="8"/>
  <c r="H252" i="8"/>
  <c r="M252" i="8"/>
  <c r="A253" i="8"/>
  <c r="A254" i="8"/>
  <c r="A255" i="8"/>
  <c r="C255" i="8"/>
  <c r="A256" i="8"/>
  <c r="A257" i="8"/>
  <c r="A258" i="8"/>
  <c r="A259" i="8"/>
  <c r="B259" i="8"/>
  <c r="C259" i="8"/>
  <c r="D259" i="8"/>
  <c r="A260" i="8"/>
  <c r="A261" i="8"/>
  <c r="A262" i="8"/>
  <c r="A263" i="8"/>
  <c r="A264" i="8"/>
  <c r="A265" i="8"/>
  <c r="A270" i="8"/>
  <c r="A271" i="8"/>
  <c r="A272" i="8"/>
  <c r="B272" i="8"/>
  <c r="B274" i="8"/>
  <c r="B275" i="8"/>
  <c r="E275" i="8"/>
  <c r="H275" i="8"/>
  <c r="B276" i="8"/>
  <c r="C276" i="8"/>
  <c r="D276" i="8"/>
  <c r="E276" i="8"/>
  <c r="F276" i="8"/>
  <c r="G276" i="8"/>
  <c r="I276" i="8"/>
  <c r="J276" i="8"/>
  <c r="K276" i="8"/>
  <c r="A277" i="8"/>
  <c r="A278" i="8"/>
  <c r="A279" i="8"/>
  <c r="A280" i="8"/>
  <c r="A282" i="8"/>
  <c r="A283" i="8"/>
  <c r="A284" i="8"/>
  <c r="A285" i="8"/>
  <c r="A286" i="8"/>
  <c r="A287" i="8"/>
  <c r="A289" i="8"/>
  <c r="A290" i="8"/>
  <c r="A292" i="8"/>
  <c r="A293" i="8"/>
  <c r="A294" i="8"/>
  <c r="A295" i="8"/>
  <c r="A296" i="8"/>
  <c r="A297" i="8"/>
  <c r="A298" i="8"/>
  <c r="A299" i="8"/>
  <c r="A300" i="8"/>
  <c r="A301" i="8"/>
  <c r="A302" i="8"/>
  <c r="A303" i="8"/>
  <c r="A304" i="8"/>
  <c r="A306" i="8"/>
  <c r="A307" i="8"/>
  <c r="A308" i="8"/>
  <c r="A309" i="8"/>
  <c r="A310" i="8"/>
  <c r="A311" i="8"/>
  <c r="A312" i="8"/>
  <c r="A313" i="8"/>
  <c r="A314" i="8"/>
  <c r="A315" i="8"/>
  <c r="A316" i="8"/>
  <c r="A317" i="8"/>
  <c r="A318" i="8"/>
  <c r="A320" i="8"/>
  <c r="A321" i="8"/>
  <c r="A322" i="8"/>
  <c r="A323" i="8"/>
  <c r="A324" i="8"/>
  <c r="A325" i="8"/>
  <c r="A326" i="8"/>
  <c r="A327" i="8"/>
  <c r="A328" i="8"/>
  <c r="A329" i="8"/>
  <c r="A330" i="8"/>
  <c r="A331" i="8"/>
  <c r="A332" i="8"/>
  <c r="A334" i="8"/>
  <c r="A335" i="8"/>
  <c r="A337" i="8"/>
  <c r="A338" i="8"/>
  <c r="A339" i="8"/>
  <c r="A340" i="8"/>
  <c r="A341" i="8"/>
  <c r="A342" i="8"/>
  <c r="A343" i="8"/>
  <c r="A344" i="8"/>
  <c r="A345" i="8"/>
  <c r="A346" i="8"/>
  <c r="A347" i="8"/>
  <c r="A348" i="8"/>
  <c r="A349" i="8"/>
  <c r="A1" i="9"/>
  <c r="A2" i="9"/>
  <c r="A3" i="9"/>
  <c r="A4" i="9"/>
  <c r="A5" i="9"/>
  <c r="A6" i="9"/>
  <c r="A8" i="9"/>
  <c r="A9" i="9"/>
  <c r="B9" i="9"/>
  <c r="C9" i="9"/>
  <c r="A10" i="9"/>
  <c r="A11" i="9"/>
  <c r="A12" i="9"/>
  <c r="A13" i="9"/>
  <c r="A14" i="9"/>
  <c r="A15" i="9"/>
  <c r="A16" i="9"/>
  <c r="A17" i="9"/>
  <c r="A19" i="9"/>
  <c r="A20" i="9"/>
  <c r="A22" i="9"/>
  <c r="A23" i="9"/>
  <c r="A24" i="9"/>
  <c r="A25" i="9"/>
  <c r="A26" i="9"/>
  <c r="A27" i="9"/>
  <c r="A28" i="9"/>
  <c r="A29" i="9"/>
  <c r="A30" i="9"/>
  <c r="A31" i="9"/>
  <c r="A32" i="9"/>
  <c r="A33" i="9"/>
  <c r="A34" i="9"/>
  <c r="A37" i="9"/>
  <c r="A38" i="9"/>
  <c r="A40" i="9"/>
  <c r="A41" i="9"/>
  <c r="A42" i="9"/>
  <c r="A43" i="9"/>
  <c r="A45" i="9"/>
  <c r="A46" i="9"/>
  <c r="A47" i="9"/>
  <c r="A48" i="9"/>
  <c r="A53" i="9"/>
  <c r="A54" i="9"/>
  <c r="A56" i="9"/>
  <c r="B58" i="9"/>
  <c r="C58" i="9"/>
  <c r="D58" i="9"/>
  <c r="E58" i="9"/>
  <c r="F58" i="9"/>
  <c r="G58" i="9"/>
  <c r="H58" i="9"/>
  <c r="I58" i="9"/>
  <c r="J58" i="9"/>
  <c r="A59" i="9"/>
  <c r="A61" i="9"/>
  <c r="A63" i="9"/>
  <c r="A64" i="9"/>
  <c r="A66" i="9"/>
  <c r="A67" i="9"/>
  <c r="A68" i="9"/>
  <c r="A69" i="9"/>
  <c r="A70" i="9"/>
  <c r="A71" i="9"/>
  <c r="A72" i="9"/>
  <c r="A73" i="9"/>
  <c r="A74" i="9"/>
  <c r="A75" i="9"/>
  <c r="A77" i="9"/>
  <c r="A78" i="9"/>
  <c r="A79" i="9"/>
  <c r="B79" i="9"/>
  <c r="C81" i="9" s="1"/>
  <c r="A81" i="9"/>
  <c r="A85" i="9"/>
  <c r="A86" i="9"/>
  <c r="A87" i="9"/>
  <c r="B87" i="9"/>
  <c r="B89" i="9"/>
  <c r="B90" i="9"/>
  <c r="C90" i="9"/>
  <c r="D90" i="9"/>
  <c r="A91" i="9"/>
  <c r="A92" i="9"/>
  <c r="A93" i="9"/>
  <c r="A94" i="9"/>
  <c r="A96" i="9"/>
  <c r="A97" i="9"/>
  <c r="A98" i="9"/>
  <c r="A99" i="9"/>
  <c r="A101" i="9"/>
  <c r="A102" i="9"/>
  <c r="A103" i="9"/>
  <c r="A104" i="9"/>
  <c r="A106" i="9"/>
  <c r="A107" i="9"/>
  <c r="A108" i="9"/>
  <c r="A109" i="9"/>
  <c r="A111" i="9"/>
  <c r="A112" i="9"/>
  <c r="A113" i="9"/>
  <c r="A114" i="9"/>
  <c r="A116" i="9"/>
  <c r="A117" i="9"/>
  <c r="A119" i="9"/>
  <c r="A120" i="9"/>
  <c r="A121" i="9"/>
  <c r="A122" i="9"/>
  <c r="A1" i="10"/>
  <c r="A2" i="10"/>
  <c r="A3" i="10"/>
  <c r="A4" i="10"/>
  <c r="A5" i="10"/>
  <c r="A6" i="10"/>
  <c r="A8" i="10"/>
  <c r="A9" i="10"/>
  <c r="C9" i="10"/>
  <c r="A10" i="10"/>
  <c r="A11" i="10"/>
  <c r="A12" i="10"/>
  <c r="A13" i="10"/>
  <c r="A14" i="10"/>
  <c r="A15" i="10"/>
  <c r="A16" i="10"/>
  <c r="B16" i="10"/>
  <c r="C16" i="10"/>
  <c r="A17" i="10"/>
  <c r="A19" i="10"/>
  <c r="A20" i="10"/>
  <c r="A22" i="10"/>
  <c r="A23" i="10"/>
  <c r="A24" i="10"/>
  <c r="A25" i="10"/>
  <c r="A26" i="10"/>
  <c r="A27" i="10"/>
  <c r="A28" i="10"/>
  <c r="A29" i="10"/>
  <c r="A30" i="10"/>
  <c r="A31" i="10"/>
  <c r="A32" i="10"/>
  <c r="A33" i="10"/>
  <c r="A34" i="10"/>
  <c r="A37" i="10"/>
  <c r="A38" i="10"/>
  <c r="A40" i="10"/>
  <c r="A41" i="10"/>
  <c r="A42" i="10"/>
  <c r="A43" i="10"/>
  <c r="A45" i="10"/>
  <c r="A46" i="10"/>
  <c r="A47" i="10"/>
  <c r="A48" i="10"/>
  <c r="A53" i="10"/>
  <c r="A54" i="10"/>
  <c r="A56" i="10"/>
  <c r="B58" i="10"/>
  <c r="C58" i="10"/>
  <c r="D58" i="10"/>
  <c r="E58" i="10"/>
  <c r="F58" i="10"/>
  <c r="G58" i="10"/>
  <c r="H58" i="10"/>
  <c r="I58" i="10"/>
  <c r="J58" i="10"/>
  <c r="A59" i="10"/>
  <c r="A61" i="10"/>
  <c r="A63" i="10"/>
  <c r="A64" i="10"/>
  <c r="A66" i="10"/>
  <c r="A67" i="10"/>
  <c r="A68" i="10"/>
  <c r="A69" i="10"/>
  <c r="A70" i="10"/>
  <c r="A71" i="10"/>
  <c r="A72" i="10"/>
  <c r="A73" i="10"/>
  <c r="A74" i="10"/>
  <c r="A75" i="10"/>
  <c r="A77" i="10"/>
  <c r="A78" i="10"/>
  <c r="A79" i="10"/>
  <c r="B79" i="10"/>
  <c r="A81" i="10"/>
  <c r="A85" i="10"/>
  <c r="A86" i="10"/>
  <c r="A87" i="10"/>
  <c r="B87" i="10"/>
  <c r="B89" i="10"/>
  <c r="B90" i="10"/>
  <c r="C90" i="10"/>
  <c r="D90" i="10"/>
  <c r="A91" i="10"/>
  <c r="A92" i="10"/>
  <c r="A93" i="10"/>
  <c r="A94" i="10"/>
  <c r="A96" i="10"/>
  <c r="A97" i="10"/>
  <c r="A98" i="10"/>
  <c r="A99" i="10"/>
  <c r="A101" i="10"/>
  <c r="A102" i="10"/>
  <c r="A103" i="10"/>
  <c r="A104" i="10"/>
  <c r="A106" i="10"/>
  <c r="A107" i="10"/>
  <c r="A108" i="10"/>
  <c r="A109" i="10"/>
  <c r="A111" i="10"/>
  <c r="A112" i="10"/>
  <c r="A113" i="10"/>
  <c r="A114" i="10"/>
  <c r="A116" i="10"/>
  <c r="A117" i="10"/>
  <c r="A119" i="10"/>
  <c r="A120" i="10"/>
  <c r="A121" i="10"/>
  <c r="A122" i="10"/>
  <c r="A1" i="11"/>
  <c r="A2" i="11"/>
  <c r="B4" i="11"/>
  <c r="B6" i="11"/>
  <c r="B8" i="11"/>
  <c r="B10" i="11"/>
  <c r="B12" i="11"/>
  <c r="B14" i="11"/>
  <c r="B16" i="11"/>
  <c r="B18" i="11"/>
  <c r="B20" i="11"/>
  <c r="B29"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5" i="11"/>
  <c r="B97" i="11"/>
  <c r="B99" i="11"/>
  <c r="B101" i="11"/>
  <c r="B103" i="11"/>
  <c r="B105" i="11"/>
  <c r="B107" i="11"/>
  <c r="B109" i="11"/>
  <c r="B111" i="11"/>
  <c r="B113" i="11"/>
  <c r="B117" i="11"/>
  <c r="B120" i="11"/>
  <c r="B126" i="11"/>
  <c r="B128" i="11"/>
  <c r="B130" i="11"/>
  <c r="B132" i="11"/>
  <c r="B134" i="11"/>
  <c r="B136" i="11"/>
  <c r="B139" i="11"/>
  <c r="B142" i="11"/>
  <c r="B144" i="11"/>
  <c r="B147" i="11"/>
  <c r="B150" i="11"/>
  <c r="B152" i="11"/>
  <c r="B155" i="11"/>
  <c r="B157" i="11"/>
  <c r="B159" i="11"/>
  <c r="B161" i="11"/>
  <c r="B163" i="11"/>
  <c r="B165" i="11"/>
  <c r="B168" i="11"/>
  <c r="B170" i="11"/>
  <c r="B172" i="11"/>
  <c r="B174" i="11"/>
  <c r="B176" i="11"/>
  <c r="B179" i="11"/>
  <c r="B182" i="11"/>
  <c r="B184" i="11"/>
  <c r="B186" i="11"/>
  <c r="B188" i="11"/>
  <c r="B190" i="11"/>
  <c r="B192" i="11"/>
  <c r="B194" i="11"/>
  <c r="B196" i="11"/>
  <c r="B198" i="11"/>
  <c r="B200" i="11"/>
  <c r="B202" i="11"/>
  <c r="B204" i="11"/>
  <c r="B206" i="11"/>
  <c r="B209" i="11"/>
  <c r="B211" i="11"/>
  <c r="B213" i="11"/>
  <c r="B215" i="11"/>
  <c r="B217" i="11"/>
  <c r="B219" i="11"/>
  <c r="B221" i="11"/>
  <c r="B223" i="11"/>
  <c r="B225" i="11"/>
  <c r="B227" i="11"/>
  <c r="B229" i="11"/>
  <c r="B231" i="11"/>
  <c r="B233" i="11"/>
  <c r="B235" i="11"/>
  <c r="B237" i="11"/>
  <c r="B239" i="11"/>
  <c r="B241" i="11"/>
  <c r="B243" i="11"/>
  <c r="B245" i="11"/>
  <c r="B247" i="11"/>
  <c r="B249" i="11"/>
  <c r="B251" i="11"/>
  <c r="B253" i="11"/>
  <c r="B255" i="11"/>
  <c r="B257" i="11"/>
  <c r="B259" i="11"/>
  <c r="B261" i="11"/>
  <c r="B263" i="11"/>
  <c r="B265" i="11"/>
  <c r="B267" i="11"/>
  <c r="B269" i="11"/>
  <c r="B271" i="11"/>
  <c r="B273" i="11"/>
  <c r="B275" i="11"/>
  <c r="B277" i="11"/>
  <c r="B279" i="11"/>
  <c r="B281" i="11"/>
  <c r="A1" i="12"/>
  <c r="A2" i="12"/>
  <c r="A3" i="12"/>
  <c r="A5" i="12"/>
  <c r="A6" i="12"/>
  <c r="A7" i="12"/>
  <c r="A8" i="12"/>
  <c r="A10" i="12"/>
  <c r="A11" i="12"/>
  <c r="A12" i="12"/>
  <c r="A13" i="12"/>
  <c r="A15" i="12"/>
  <c r="A16" i="12"/>
  <c r="A17" i="12"/>
  <c r="A18" i="12"/>
  <c r="A20" i="12"/>
  <c r="A21" i="12"/>
  <c r="A22" i="12"/>
  <c r="A23" i="12"/>
  <c r="A25" i="12"/>
  <c r="A26" i="12"/>
  <c r="A27" i="12"/>
  <c r="A28" i="12"/>
  <c r="A30" i="12"/>
  <c r="A31" i="12"/>
  <c r="A32" i="12"/>
  <c r="A33" i="12"/>
  <c r="A35" i="12"/>
  <c r="A36" i="12"/>
  <c r="A37" i="12"/>
  <c r="A38" i="12"/>
  <c r="B39" i="12"/>
  <c r="C39" i="12"/>
  <c r="D39" i="12"/>
  <c r="B40" i="12"/>
  <c r="B41" i="12" s="1"/>
  <c r="A1" i="13"/>
  <c r="A2" i="13"/>
  <c r="A3"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7" i="13"/>
  <c r="A38" i="13"/>
  <c r="A39" i="13"/>
  <c r="C39" i="13"/>
  <c r="A40" i="13"/>
  <c r="B40" i="13"/>
  <c r="C40" i="13"/>
  <c r="A41" i="13"/>
  <c r="A42" i="13"/>
  <c r="C42" i="13"/>
  <c r="A43" i="13"/>
  <c r="B43" i="13"/>
  <c r="C43" i="13"/>
  <c r="A44" i="13"/>
  <c r="A45" i="13"/>
  <c r="B45" i="13"/>
  <c r="C45" i="13"/>
  <c r="A46" i="13"/>
  <c r="A47" i="13"/>
  <c r="A48" i="13"/>
  <c r="A49" i="13"/>
  <c r="C49" i="13"/>
  <c r="A50" i="13"/>
  <c r="B50" i="13"/>
  <c r="C54" i="13" s="1"/>
  <c r="C50" i="13"/>
  <c r="A51" i="13"/>
  <c r="A52" i="13"/>
  <c r="C52" i="13"/>
  <c r="A53" i="13"/>
  <c r="B53" i="13"/>
  <c r="C53" i="13"/>
  <c r="A54" i="13"/>
  <c r="A55" i="13"/>
  <c r="B55" i="13"/>
  <c r="C55" i="13"/>
  <c r="A56" i="13"/>
  <c r="A57" i="13"/>
  <c r="A58" i="13"/>
  <c r="A59" i="13"/>
  <c r="B59" i="13"/>
  <c r="C59" i="13"/>
  <c r="A60" i="13"/>
  <c r="A61" i="13"/>
  <c r="A62" i="13"/>
  <c r="B62" i="13"/>
  <c r="C62" i="13"/>
  <c r="A63" i="13"/>
  <c r="B63" i="13"/>
  <c r="A64" i="13"/>
  <c r="A65" i="13"/>
  <c r="A66" i="13"/>
  <c r="A67" i="13"/>
  <c r="A69" i="13"/>
  <c r="A70" i="13"/>
  <c r="A71" i="13"/>
  <c r="A72" i="13"/>
  <c r="A73" i="13"/>
  <c r="A74" i="13"/>
  <c r="A75" i="13"/>
  <c r="A76" i="13"/>
  <c r="A77" i="13"/>
  <c r="A78" i="13"/>
  <c r="A79" i="13"/>
  <c r="A80" i="13"/>
  <c r="A81" i="13"/>
  <c r="A83" i="13"/>
  <c r="A84" i="13"/>
  <c r="A85" i="13"/>
  <c r="A86" i="13"/>
  <c r="A87" i="13"/>
  <c r="A88" i="13"/>
  <c r="A89" i="13"/>
  <c r="A90" i="13"/>
  <c r="A91" i="13"/>
  <c r="A92" i="13"/>
  <c r="A93" i="13"/>
  <c r="A94" i="13"/>
  <c r="A95" i="13"/>
  <c r="A97" i="13"/>
  <c r="A98" i="13"/>
  <c r="A99" i="13"/>
  <c r="A100" i="13"/>
  <c r="A101" i="13"/>
  <c r="A102" i="13"/>
  <c r="A103" i="13"/>
  <c r="A104" i="13"/>
  <c r="A105" i="13"/>
  <c r="A106" i="13"/>
  <c r="A107" i="13"/>
  <c r="A108" i="13"/>
  <c r="A109" i="13"/>
  <c r="A111" i="13"/>
  <c r="A112" i="13"/>
  <c r="A113" i="13"/>
  <c r="A114" i="13"/>
  <c r="A115" i="13"/>
  <c r="A116" i="13"/>
  <c r="A117" i="13"/>
  <c r="A118" i="13"/>
  <c r="A119" i="13"/>
  <c r="A120" i="13"/>
  <c r="A121" i="13"/>
  <c r="A122" i="13"/>
  <c r="A123"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B165" i="13"/>
  <c r="C165" i="13"/>
  <c r="D165" i="13"/>
  <c r="A166" i="13"/>
  <c r="A167" i="13"/>
  <c r="A168" i="13"/>
  <c r="A169" i="13"/>
  <c r="A170" i="13"/>
  <c r="A171" i="13"/>
  <c r="A172" i="13"/>
  <c r="B173" i="13"/>
  <c r="C173" i="13"/>
  <c r="D173" i="13"/>
  <c r="A174" i="13"/>
  <c r="A175" i="13"/>
  <c r="A176" i="13"/>
  <c r="A177" i="13"/>
  <c r="A178" i="13"/>
  <c r="A179" i="13"/>
  <c r="A180" i="13"/>
  <c r="B181" i="13"/>
  <c r="C181" i="13"/>
  <c r="D181" i="13"/>
  <c r="A182" i="13"/>
  <c r="A183" i="13"/>
  <c r="A184" i="13"/>
  <c r="A185" i="13"/>
  <c r="A186" i="13"/>
  <c r="A187" i="13"/>
  <c r="A188" i="13"/>
  <c r="A189" i="13"/>
  <c r="A190" i="13"/>
  <c r="A191" i="13"/>
  <c r="B192" i="13"/>
  <c r="C192" i="13"/>
  <c r="D192" i="13"/>
  <c r="A193" i="13"/>
  <c r="A194" i="13"/>
  <c r="A195" i="13"/>
  <c r="A196" i="13"/>
  <c r="A197" i="13"/>
  <c r="A198" i="13"/>
  <c r="A199" i="13"/>
  <c r="A200" i="13"/>
  <c r="A201" i="13"/>
  <c r="A202" i="13"/>
  <c r="A205" i="13"/>
  <c r="A208" i="13"/>
  <c r="A211" i="13"/>
  <c r="A214" i="13"/>
  <c r="A217" i="13"/>
  <c r="A220" i="13"/>
  <c r="A223" i="13"/>
  <c r="A226" i="13"/>
  <c r="A229" i="13"/>
  <c r="A232" i="13"/>
  <c r="A235" i="13"/>
  <c r="A238" i="13"/>
  <c r="A241" i="13"/>
  <c r="A244" i="13"/>
  <c r="A247" i="13"/>
  <c r="A250" i="13"/>
  <c r="A253" i="13"/>
  <c r="A256" i="13"/>
  <c r="A259" i="13"/>
  <c r="A262" i="13"/>
  <c r="A265" i="13"/>
  <c r="A268" i="13"/>
  <c r="A271" i="13"/>
  <c r="A274" i="13"/>
  <c r="A277" i="13"/>
  <c r="A280" i="13"/>
  <c r="A283" i="13"/>
  <c r="A286" i="13"/>
  <c r="A289" i="13"/>
  <c r="A292" i="13"/>
  <c r="A295" i="13"/>
  <c r="A298" i="13"/>
  <c r="A301" i="13"/>
  <c r="A304" i="13"/>
  <c r="A307" i="13"/>
  <c r="A310" i="13"/>
  <c r="A313" i="13"/>
  <c r="A316" i="13"/>
  <c r="A319" i="13"/>
  <c r="A1" i="14"/>
  <c r="AB12" i="18" s="1"/>
  <c r="A2" i="14"/>
  <c r="A3" i="14"/>
  <c r="A4" i="14"/>
  <c r="H4" i="14" s="1"/>
  <c r="C188" i="15" s="1"/>
  <c r="C4" i="14"/>
  <c r="D4" i="14" s="1"/>
  <c r="A5" i="14"/>
  <c r="C5" i="14"/>
  <c r="D5" i="14"/>
  <c r="A6" i="14"/>
  <c r="F6" i="14" s="1"/>
  <c r="C6" i="14"/>
  <c r="D6" i="14" s="1"/>
  <c r="G6" i="14"/>
  <c r="B286" i="15" s="1"/>
  <c r="A7" i="14"/>
  <c r="H7" i="14" s="1"/>
  <c r="C7" i="14"/>
  <c r="D7" i="14" s="1"/>
  <c r="A8" i="14"/>
  <c r="G8" i="14" s="1"/>
  <c r="C8" i="14"/>
  <c r="D8" i="14"/>
  <c r="A9" i="14"/>
  <c r="F258" i="13" s="1"/>
  <c r="D88" i="17" s="1"/>
  <c r="C9" i="14"/>
  <c r="D9" i="14" s="1"/>
  <c r="G9" i="14"/>
  <c r="F296" i="13" s="1"/>
  <c r="A10" i="14"/>
  <c r="C10" i="14"/>
  <c r="D10" i="14" s="1"/>
  <c r="G10" i="14"/>
  <c r="E315" i="13" s="1"/>
  <c r="D154" i="17" s="1"/>
  <c r="A11" i="14"/>
  <c r="H11" i="14" s="1"/>
  <c r="B11" i="14"/>
  <c r="E11" i="14" s="1"/>
  <c r="C11" i="14"/>
  <c r="D11" i="14" s="1"/>
  <c r="F11" i="14"/>
  <c r="A12" i="14"/>
  <c r="J288" i="13" s="1"/>
  <c r="G135" i="17" s="1"/>
  <c r="B12" i="14"/>
  <c r="E12" i="14" s="1"/>
  <c r="C12" i="14"/>
  <c r="D12" i="14" s="1"/>
  <c r="A13" i="14"/>
  <c r="B13" i="14"/>
  <c r="E13" i="14" s="1"/>
  <c r="C13" i="14"/>
  <c r="D13" i="14" s="1"/>
  <c r="A14" i="14"/>
  <c r="G14" i="14" s="1"/>
  <c r="I83" i="15" s="1"/>
  <c r="C14" i="14"/>
  <c r="D14" i="14" s="1"/>
  <c r="A15" i="14"/>
  <c r="C15" i="14"/>
  <c r="D15" i="14"/>
  <c r="A1" i="15"/>
  <c r="A2" i="15"/>
  <c r="A3" i="15"/>
  <c r="B4" i="15"/>
  <c r="C4" i="15"/>
  <c r="D4" i="15"/>
  <c r="A5" i="15"/>
  <c r="C5" i="15"/>
  <c r="C7" i="15" s="1"/>
  <c r="A6" i="15"/>
  <c r="B6" i="15"/>
  <c r="C6" i="15"/>
  <c r="A7" i="15"/>
  <c r="A8" i="15"/>
  <c r="B9" i="15"/>
  <c r="C9" i="15"/>
  <c r="D9" i="15"/>
  <c r="A10" i="15"/>
  <c r="B10" i="15"/>
  <c r="C10" i="15"/>
  <c r="A11" i="15"/>
  <c r="C11" i="15"/>
  <c r="A12" i="15"/>
  <c r="A13" i="15"/>
  <c r="B14" i="15"/>
  <c r="C14" i="15"/>
  <c r="D14" i="15"/>
  <c r="A15" i="15"/>
  <c r="C15" i="15"/>
  <c r="A16" i="15"/>
  <c r="B16" i="15"/>
  <c r="A17" i="15"/>
  <c r="A18" i="15"/>
  <c r="B19" i="15"/>
  <c r="C19" i="15"/>
  <c r="D19" i="15"/>
  <c r="A20" i="15"/>
  <c r="B20" i="15"/>
  <c r="A21" i="15"/>
  <c r="B21" i="15"/>
  <c r="A22" i="15"/>
  <c r="C23" i="15"/>
  <c r="J23" i="15"/>
  <c r="A24" i="15"/>
  <c r="A25" i="15"/>
  <c r="A26" i="15"/>
  <c r="B26" i="15"/>
  <c r="B32" i="15" s="1"/>
  <c r="A27" i="15"/>
  <c r="A28" i="15"/>
  <c r="B28" i="15"/>
  <c r="B58" i="15" s="1"/>
  <c r="C28" i="15"/>
  <c r="C58" i="15" s="1"/>
  <c r="A29" i="15"/>
  <c r="B29" i="15"/>
  <c r="C29" i="15"/>
  <c r="A30" i="15"/>
  <c r="A31" i="15"/>
  <c r="A32" i="15"/>
  <c r="A33" i="15"/>
  <c r="B34" i="15"/>
  <c r="A35" i="15"/>
  <c r="A36" i="15"/>
  <c r="A37" i="15"/>
  <c r="A38" i="15"/>
  <c r="A39" i="15"/>
  <c r="A40" i="15"/>
  <c r="A41" i="15"/>
  <c r="A42" i="15"/>
  <c r="A43" i="15"/>
  <c r="A44" i="15"/>
  <c r="A45" i="15"/>
  <c r="A46" i="15"/>
  <c r="A47" i="15"/>
  <c r="B48" i="15"/>
  <c r="C48" i="15"/>
  <c r="D48" i="15"/>
  <c r="A49" i="15"/>
  <c r="B49" i="15"/>
  <c r="D49" i="15" s="1"/>
  <c r="C49" i="15"/>
  <c r="A50" i="15"/>
  <c r="B50" i="15"/>
  <c r="C50" i="15"/>
  <c r="C51" i="15" s="1"/>
  <c r="A51" i="15"/>
  <c r="A52" i="15"/>
  <c r="C53" i="15"/>
  <c r="J53" i="15"/>
  <c r="A54" i="15"/>
  <c r="A55" i="15"/>
  <c r="A56" i="15"/>
  <c r="A57" i="15"/>
  <c r="A58" i="15"/>
  <c r="A59" i="15"/>
  <c r="B59" i="15"/>
  <c r="C59" i="15"/>
  <c r="A60" i="15"/>
  <c r="A61" i="15"/>
  <c r="A62" i="15"/>
  <c r="A63" i="15"/>
  <c r="D64" i="15"/>
  <c r="E64" i="15"/>
  <c r="A65" i="15"/>
  <c r="A66" i="15"/>
  <c r="B66" i="15"/>
  <c r="C66" i="15"/>
  <c r="D66" i="15"/>
  <c r="E66" i="15"/>
  <c r="G66" i="15"/>
  <c r="A67" i="15"/>
  <c r="A68" i="15"/>
  <c r="A69" i="15"/>
  <c r="A70" i="15"/>
  <c r="B70" i="15"/>
  <c r="C70" i="15"/>
  <c r="D70" i="15"/>
  <c r="A71" i="15"/>
  <c r="B71" i="15"/>
  <c r="C71" i="15"/>
  <c r="A72" i="15"/>
  <c r="A73" i="15"/>
  <c r="A74" i="15"/>
  <c r="A75" i="15"/>
  <c r="A76" i="15"/>
  <c r="A77" i="15"/>
  <c r="B78" i="15"/>
  <c r="C78" i="15"/>
  <c r="D78" i="15"/>
  <c r="A79" i="15"/>
  <c r="B79" i="15"/>
  <c r="A80" i="15"/>
  <c r="B80" i="15"/>
  <c r="B81" i="15" s="1"/>
  <c r="C80" i="15"/>
  <c r="A81" i="15"/>
  <c r="A82" i="15"/>
  <c r="C83" i="15"/>
  <c r="A84" i="15"/>
  <c r="A85" i="15"/>
  <c r="B85" i="15"/>
  <c r="B99" i="15" s="1"/>
  <c r="B101" i="15" s="1"/>
  <c r="D85" i="15"/>
  <c r="D99" i="15" s="1"/>
  <c r="E85" i="15"/>
  <c r="F85" i="15"/>
  <c r="F99" i="15" s="1"/>
  <c r="H85" i="15"/>
  <c r="I85" i="15"/>
  <c r="A86" i="15"/>
  <c r="C86" i="15"/>
  <c r="C100" i="15" s="1"/>
  <c r="D86" i="15"/>
  <c r="D100" i="15" s="1"/>
  <c r="E86" i="15"/>
  <c r="G86" i="15"/>
  <c r="H86" i="15"/>
  <c r="H100" i="15" s="1"/>
  <c r="I86" i="15"/>
  <c r="I100" i="15" s="1"/>
  <c r="I101" i="15" s="1"/>
  <c r="I106" i="15" s="1"/>
  <c r="A87" i="15"/>
  <c r="E87" i="15"/>
  <c r="A88" i="15"/>
  <c r="A89" i="15"/>
  <c r="B89" i="15"/>
  <c r="C89" i="15"/>
  <c r="C103" i="15" s="1"/>
  <c r="E89" i="15"/>
  <c r="F89" i="15"/>
  <c r="G89" i="15"/>
  <c r="G103" i="15" s="1"/>
  <c r="I89" i="15"/>
  <c r="I103" i="15" s="1"/>
  <c r="A90" i="15"/>
  <c r="B90" i="15"/>
  <c r="B104" i="15" s="1"/>
  <c r="D90" i="15"/>
  <c r="D104" i="15" s="1"/>
  <c r="E90" i="15"/>
  <c r="F90" i="15"/>
  <c r="F104" i="15" s="1"/>
  <c r="H90" i="15"/>
  <c r="H104" i="15" s="1"/>
  <c r="I90" i="15"/>
  <c r="I104" i="15" s="1"/>
  <c r="I105" i="15" s="1"/>
  <c r="A91" i="15"/>
  <c r="E91" i="15"/>
  <c r="A92" i="15"/>
  <c r="E92" i="15"/>
  <c r="A93" i="15"/>
  <c r="E93" i="15"/>
  <c r="A94" i="15"/>
  <c r="E94" i="15"/>
  <c r="A95" i="15"/>
  <c r="E95" i="15"/>
  <c r="A96" i="15"/>
  <c r="C97" i="15"/>
  <c r="A98" i="15"/>
  <c r="A99" i="15"/>
  <c r="G99" i="15"/>
  <c r="H99" i="15"/>
  <c r="I99" i="15"/>
  <c r="A100" i="15"/>
  <c r="B100" i="15"/>
  <c r="G100" i="15"/>
  <c r="A101" i="15"/>
  <c r="A102" i="15"/>
  <c r="A103" i="15"/>
  <c r="B103" i="15"/>
  <c r="F103" i="15"/>
  <c r="H103" i="15"/>
  <c r="A104" i="15"/>
  <c r="A105" i="15"/>
  <c r="A106" i="15"/>
  <c r="A107" i="15"/>
  <c r="A108" i="15"/>
  <c r="A109" i="15"/>
  <c r="A110" i="15"/>
  <c r="B111" i="15"/>
  <c r="F111" i="15"/>
  <c r="L111" i="15"/>
  <c r="M111" i="15"/>
  <c r="A112" i="15"/>
  <c r="B112" i="15"/>
  <c r="C112" i="15"/>
  <c r="A113" i="15"/>
  <c r="A114" i="15"/>
  <c r="A115" i="15"/>
  <c r="B116" i="15"/>
  <c r="C116" i="15"/>
  <c r="D116" i="15"/>
  <c r="A117" i="15"/>
  <c r="B117" i="15"/>
  <c r="C117" i="15"/>
  <c r="C119" i="15" s="1"/>
  <c r="A118" i="15"/>
  <c r="B118" i="15"/>
  <c r="C118" i="15"/>
  <c r="A119" i="15"/>
  <c r="A120" i="15"/>
  <c r="B121" i="15"/>
  <c r="F121" i="15"/>
  <c r="A122" i="15"/>
  <c r="A123" i="15"/>
  <c r="B123" i="15"/>
  <c r="A124" i="15"/>
  <c r="B124" i="15"/>
  <c r="B132" i="15" s="1"/>
  <c r="B204" i="15" s="1"/>
  <c r="C204" i="15" s="1"/>
  <c r="C124" i="15"/>
  <c r="A125" i="15"/>
  <c r="A126" i="15"/>
  <c r="A127" i="15"/>
  <c r="A128" i="15"/>
  <c r="B128" i="15"/>
  <c r="C128" i="15"/>
  <c r="A129" i="15"/>
  <c r="A130" i="15"/>
  <c r="A131" i="15"/>
  <c r="A132" i="15"/>
  <c r="A133" i="15"/>
  <c r="A134" i="15"/>
  <c r="B135" i="15"/>
  <c r="C135" i="15"/>
  <c r="D135" i="15"/>
  <c r="A136" i="15"/>
  <c r="B136" i="15"/>
  <c r="C136" i="15"/>
  <c r="D136" i="15"/>
  <c r="A137" i="15"/>
  <c r="B137" i="15"/>
  <c r="C137" i="15"/>
  <c r="D137" i="15"/>
  <c r="A138" i="15"/>
  <c r="B138" i="15"/>
  <c r="C138" i="15"/>
  <c r="D138" i="15"/>
  <c r="A139" i="15"/>
  <c r="A141" i="15"/>
  <c r="B141" i="15"/>
  <c r="A142" i="15"/>
  <c r="B142" i="15"/>
  <c r="A143" i="15"/>
  <c r="A144" i="15"/>
  <c r="A146" i="15"/>
  <c r="B146" i="15"/>
  <c r="A147" i="15"/>
  <c r="B147" i="15"/>
  <c r="B148" i="15" s="1"/>
  <c r="A148" i="15"/>
  <c r="A149" i="15"/>
  <c r="A151" i="15"/>
  <c r="B151" i="15"/>
  <c r="B259" i="15" s="1"/>
  <c r="A152" i="15"/>
  <c r="A153" i="15"/>
  <c r="B153" i="15"/>
  <c r="B261" i="15" s="1"/>
  <c r="A154" i="15"/>
  <c r="A156" i="15"/>
  <c r="B156" i="15"/>
  <c r="B269" i="15" s="1"/>
  <c r="A157" i="15"/>
  <c r="B157" i="15"/>
  <c r="B270" i="15" s="1"/>
  <c r="A158" i="15"/>
  <c r="B158" i="15"/>
  <c r="B271" i="15" s="1"/>
  <c r="A159" i="15"/>
  <c r="B160" i="15"/>
  <c r="C160" i="15"/>
  <c r="D160" i="15"/>
  <c r="A161" i="15"/>
  <c r="A162" i="15"/>
  <c r="A163" i="15"/>
  <c r="A164" i="15"/>
  <c r="A166" i="15"/>
  <c r="A167" i="15"/>
  <c r="A168" i="15"/>
  <c r="B169" i="15"/>
  <c r="F169" i="15"/>
  <c r="G169" i="15"/>
  <c r="A170" i="15"/>
  <c r="A171" i="15"/>
  <c r="A172" i="15"/>
  <c r="A173" i="15"/>
  <c r="A174" i="15"/>
  <c r="A175" i="15"/>
  <c r="A176" i="15"/>
  <c r="A177" i="15"/>
  <c r="A178" i="15"/>
  <c r="A179" i="15"/>
  <c r="A180" i="15"/>
  <c r="A181" i="15"/>
  <c r="A182" i="15"/>
  <c r="B183" i="15"/>
  <c r="C183" i="15"/>
  <c r="D183" i="15"/>
  <c r="A184" i="15"/>
  <c r="B184" i="15"/>
  <c r="C184" i="15"/>
  <c r="A185" i="15"/>
  <c r="B185" i="15"/>
  <c r="A186" i="15"/>
  <c r="A187" i="15"/>
  <c r="B188" i="15"/>
  <c r="F188" i="15"/>
  <c r="G188" i="15"/>
  <c r="M188" i="15"/>
  <c r="A189" i="15"/>
  <c r="A190" i="15"/>
  <c r="A191" i="15"/>
  <c r="A192" i="15"/>
  <c r="A193" i="15"/>
  <c r="A194" i="15"/>
  <c r="B194" i="15"/>
  <c r="D194" i="15"/>
  <c r="A195" i="15"/>
  <c r="A196" i="15"/>
  <c r="A197" i="15"/>
  <c r="A198" i="15"/>
  <c r="A199" i="15"/>
  <c r="A200" i="15"/>
  <c r="A201" i="15"/>
  <c r="B202" i="15"/>
  <c r="C202" i="15"/>
  <c r="F202" i="15"/>
  <c r="M202" i="15"/>
  <c r="A203" i="15"/>
  <c r="A204" i="15"/>
  <c r="A205" i="15"/>
  <c r="A206" i="15"/>
  <c r="D207" i="15"/>
  <c r="E207" i="15"/>
  <c r="J207" i="15"/>
  <c r="A208" i="15"/>
  <c r="A209" i="15"/>
  <c r="A210" i="15"/>
  <c r="A211" i="15"/>
  <c r="B212" i="15"/>
  <c r="F212" i="15"/>
  <c r="L212" i="15"/>
  <c r="M212" i="15"/>
  <c r="A213" i="15"/>
  <c r="A214" i="15"/>
  <c r="A215" i="15"/>
  <c r="A216" i="15"/>
  <c r="A217" i="15"/>
  <c r="A218" i="15"/>
  <c r="A219" i="15"/>
  <c r="A220" i="15"/>
  <c r="A221" i="15"/>
  <c r="A222" i="15"/>
  <c r="A223" i="15"/>
  <c r="A224" i="15"/>
  <c r="A225" i="15"/>
  <c r="B226" i="15"/>
  <c r="C226" i="15"/>
  <c r="D226" i="15"/>
  <c r="A227" i="15"/>
  <c r="A228" i="15"/>
  <c r="C228" i="15"/>
  <c r="A229" i="15"/>
  <c r="A230" i="15"/>
  <c r="B231" i="15"/>
  <c r="F231" i="15"/>
  <c r="L231" i="15"/>
  <c r="M231" i="15"/>
  <c r="A232" i="15"/>
  <c r="A233" i="15"/>
  <c r="A234" i="15"/>
  <c r="A235" i="15"/>
  <c r="A236" i="15"/>
  <c r="A237" i="15"/>
  <c r="A238" i="15"/>
  <c r="A239" i="15"/>
  <c r="A240" i="15"/>
  <c r="A241" i="15"/>
  <c r="A242" i="15"/>
  <c r="A243" i="15"/>
  <c r="A244" i="15"/>
  <c r="A246" i="15"/>
  <c r="A247" i="15"/>
  <c r="A248" i="15"/>
  <c r="A249" i="15"/>
  <c r="A251" i="15"/>
  <c r="A252" i="15"/>
  <c r="A253" i="15"/>
  <c r="A254" i="15"/>
  <c r="B256" i="15"/>
  <c r="B251" i="15" s="1"/>
  <c r="A257" i="15"/>
  <c r="A259" i="15"/>
  <c r="A260" i="15"/>
  <c r="B260" i="15"/>
  <c r="A261" i="15"/>
  <c r="A262" i="15"/>
  <c r="A264" i="15"/>
  <c r="A265" i="15"/>
  <c r="A266" i="15"/>
  <c r="A267" i="15"/>
  <c r="A269" i="15"/>
  <c r="A270" i="15"/>
  <c r="A271" i="15"/>
  <c r="A272" i="15"/>
  <c r="B273" i="15"/>
  <c r="F273" i="15"/>
  <c r="G273" i="15"/>
  <c r="A274" i="15"/>
  <c r="B274" i="15"/>
  <c r="C274" i="15" s="1"/>
  <c r="A275" i="15"/>
  <c r="A276" i="15"/>
  <c r="A277" i="15"/>
  <c r="B278" i="15"/>
  <c r="F278" i="15"/>
  <c r="G278" i="15"/>
  <c r="L278" i="15"/>
  <c r="B279" i="15"/>
  <c r="C279" i="15"/>
  <c r="A280" i="15"/>
  <c r="A282" i="15"/>
  <c r="A283" i="15"/>
  <c r="A284" i="15"/>
  <c r="A285" i="15"/>
  <c r="F286" i="15"/>
  <c r="G286" i="15"/>
  <c r="L286" i="15"/>
  <c r="M286" i="15"/>
  <c r="A287" i="15"/>
  <c r="A288" i="15"/>
  <c r="A289" i="15"/>
  <c r="A1" i="16"/>
  <c r="A2" i="16"/>
  <c r="A1" i="17"/>
  <c r="B90" i="3" s="1"/>
  <c r="A2" i="17"/>
  <c r="C90" i="3" s="1"/>
  <c r="B2" i="17"/>
  <c r="C2" i="17"/>
  <c r="A3" i="17"/>
  <c r="D90" i="3" s="1"/>
  <c r="B3" i="17"/>
  <c r="C3" i="17"/>
  <c r="A5" i="17"/>
  <c r="C91" i="3" s="1"/>
  <c r="B5" i="17"/>
  <c r="C5" i="17"/>
  <c r="A6" i="17"/>
  <c r="D91" i="3" s="1"/>
  <c r="B6" i="17"/>
  <c r="C6" i="17"/>
  <c r="B7" i="17"/>
  <c r="A8" i="17"/>
  <c r="C94" i="3" s="1"/>
  <c r="B8" i="17"/>
  <c r="C8" i="17"/>
  <c r="A9" i="17"/>
  <c r="D94" i="3" s="1"/>
  <c r="B9" i="17"/>
  <c r="C9" i="17"/>
  <c r="C10" i="17"/>
  <c r="A11" i="17"/>
  <c r="C95" i="3" s="1"/>
  <c r="B11" i="17"/>
  <c r="C11" i="17"/>
  <c r="A12" i="17"/>
  <c r="D95" i="3" s="1"/>
  <c r="B12" i="17"/>
  <c r="C12" i="17"/>
  <c r="B1" i="18"/>
  <c r="D1" i="18"/>
  <c r="F1" i="18"/>
  <c r="H1" i="18"/>
  <c r="J1" i="18"/>
  <c r="L1" i="18"/>
  <c r="N1" i="18"/>
  <c r="P1" i="18"/>
  <c r="R1" i="18"/>
  <c r="T1" i="18"/>
  <c r="V1" i="18"/>
  <c r="X1" i="18"/>
  <c r="Z1" i="18"/>
  <c r="AB1" i="18"/>
  <c r="AD1" i="18"/>
  <c r="AF1" i="18"/>
  <c r="AH1" i="18"/>
  <c r="AJ1" i="18"/>
  <c r="AL1" i="18"/>
  <c r="AN1" i="18"/>
  <c r="AP1" i="18"/>
  <c r="AR1" i="18"/>
  <c r="AT1" i="18"/>
  <c r="AV1" i="18"/>
  <c r="AX1" i="18"/>
  <c r="AZ1" i="18"/>
  <c r="BB1" i="18"/>
  <c r="BD1" i="18"/>
  <c r="BF1" i="18"/>
  <c r="BH1" i="18"/>
  <c r="BJ1" i="18"/>
  <c r="BL1" i="18"/>
  <c r="B2" i="18"/>
  <c r="D2" i="18"/>
  <c r="F2" i="18"/>
  <c r="H2" i="18"/>
  <c r="J2" i="18"/>
  <c r="L2" i="18"/>
  <c r="N2" i="18"/>
  <c r="P2" i="18"/>
  <c r="R2" i="18"/>
  <c r="T2" i="18"/>
  <c r="V2" i="18"/>
  <c r="X2" i="18"/>
  <c r="Z2" i="18"/>
  <c r="AB2" i="18"/>
  <c r="AD2" i="18"/>
  <c r="AF2" i="18"/>
  <c r="AH2" i="18"/>
  <c r="AJ2" i="18"/>
  <c r="AL2" i="18"/>
  <c r="AN2" i="18"/>
  <c r="AP2" i="18"/>
  <c r="AR2" i="18"/>
  <c r="AT2" i="18"/>
  <c r="AV2" i="18"/>
  <c r="AX2" i="18"/>
  <c r="AZ2" i="18"/>
  <c r="BB2" i="18"/>
  <c r="BD2" i="18"/>
  <c r="BF2" i="18"/>
  <c r="BH2" i="18"/>
  <c r="BJ2" i="18"/>
  <c r="BL2" i="18"/>
  <c r="B3" i="18"/>
  <c r="D3" i="18"/>
  <c r="F3" i="18"/>
  <c r="H3" i="18"/>
  <c r="J3" i="18"/>
  <c r="L3" i="18"/>
  <c r="N3" i="18"/>
  <c r="P3" i="18"/>
  <c r="R3" i="18"/>
  <c r="T3" i="18"/>
  <c r="V3" i="18"/>
  <c r="X3" i="18"/>
  <c r="Z3" i="18"/>
  <c r="AB3" i="18"/>
  <c r="AD3" i="18"/>
  <c r="AF3" i="18"/>
  <c r="AH3" i="18"/>
  <c r="AJ3" i="18"/>
  <c r="AL3" i="18"/>
  <c r="AN3" i="18"/>
  <c r="AP3" i="18"/>
  <c r="AR3" i="18"/>
  <c r="AT3" i="18"/>
  <c r="AV3" i="18"/>
  <c r="AX3" i="18"/>
  <c r="AZ3" i="18"/>
  <c r="BB3" i="18"/>
  <c r="BD3" i="18"/>
  <c r="BF3" i="18"/>
  <c r="BH3" i="18"/>
  <c r="BJ3" i="18"/>
  <c r="BL3" i="18"/>
  <c r="B4" i="18"/>
  <c r="D4" i="18"/>
  <c r="F4" i="18"/>
  <c r="H4" i="18"/>
  <c r="J4" i="18"/>
  <c r="L4" i="18"/>
  <c r="N4" i="18"/>
  <c r="P4" i="18"/>
  <c r="R4" i="18"/>
  <c r="T4" i="18"/>
  <c r="V4" i="18"/>
  <c r="X4" i="18"/>
  <c r="Z4" i="18"/>
  <c r="AB4" i="18"/>
  <c r="AD4" i="18"/>
  <c r="AF4" i="18"/>
  <c r="AH4" i="18"/>
  <c r="AJ4" i="18"/>
  <c r="AL4" i="18"/>
  <c r="AN4" i="18"/>
  <c r="AP4" i="18"/>
  <c r="AR4" i="18"/>
  <c r="AT4" i="18"/>
  <c r="AV4" i="18"/>
  <c r="AX4" i="18"/>
  <c r="AZ4" i="18"/>
  <c r="BB4" i="18"/>
  <c r="BD4" i="18"/>
  <c r="BF4" i="18"/>
  <c r="BH4" i="18"/>
  <c r="BJ4" i="18"/>
  <c r="BL4" i="18"/>
  <c r="B5" i="18"/>
  <c r="D5" i="18"/>
  <c r="F5" i="18"/>
  <c r="H5" i="18"/>
  <c r="J5" i="18"/>
  <c r="L5" i="18"/>
  <c r="N5" i="18"/>
  <c r="P5" i="18"/>
  <c r="R5" i="18"/>
  <c r="T5" i="18"/>
  <c r="V5" i="18"/>
  <c r="X5" i="18"/>
  <c r="Z5" i="18"/>
  <c r="AB5" i="18"/>
  <c r="AD5" i="18"/>
  <c r="AF5" i="18"/>
  <c r="AH5" i="18"/>
  <c r="AJ5" i="18"/>
  <c r="AL5" i="18"/>
  <c r="AN5" i="18"/>
  <c r="AP5" i="18"/>
  <c r="AR5" i="18"/>
  <c r="AT5" i="18"/>
  <c r="AV5" i="18"/>
  <c r="AX5" i="18"/>
  <c r="AZ5" i="18"/>
  <c r="BB5" i="18"/>
  <c r="BD5" i="18"/>
  <c r="BF5" i="18"/>
  <c r="BH5" i="18"/>
  <c r="BJ5" i="18"/>
  <c r="BL5" i="18"/>
  <c r="B6" i="18"/>
  <c r="D6" i="18"/>
  <c r="F6" i="18"/>
  <c r="H6" i="18"/>
  <c r="J6" i="18"/>
  <c r="L6" i="18"/>
  <c r="N6" i="18"/>
  <c r="P6" i="18"/>
  <c r="R6" i="18"/>
  <c r="T6" i="18"/>
  <c r="V6" i="18"/>
  <c r="X6" i="18"/>
  <c r="Z6" i="18"/>
  <c r="AB6" i="18"/>
  <c r="AD6" i="18"/>
  <c r="AF6" i="18"/>
  <c r="AH6" i="18"/>
  <c r="AJ6" i="18"/>
  <c r="AL6" i="18"/>
  <c r="AN6" i="18"/>
  <c r="AP6" i="18"/>
  <c r="AR6" i="18"/>
  <c r="AT6" i="18"/>
  <c r="AV6" i="18"/>
  <c r="AX6" i="18"/>
  <c r="AZ6" i="18"/>
  <c r="BB6" i="18"/>
  <c r="BD6" i="18"/>
  <c r="BF6" i="18"/>
  <c r="BH6" i="18"/>
  <c r="BJ6" i="18"/>
  <c r="BL6" i="18"/>
  <c r="B7" i="18"/>
  <c r="D7" i="18"/>
  <c r="F7" i="18"/>
  <c r="H7" i="18"/>
  <c r="J7" i="18"/>
  <c r="L7" i="18"/>
  <c r="N7" i="18"/>
  <c r="P7" i="18"/>
  <c r="R7" i="18"/>
  <c r="T7" i="18"/>
  <c r="V7" i="18"/>
  <c r="X7" i="18"/>
  <c r="Z7" i="18"/>
  <c r="AB7" i="18"/>
  <c r="AD7" i="18"/>
  <c r="AF7" i="18"/>
  <c r="AH7" i="18"/>
  <c r="AJ7" i="18"/>
  <c r="AL7" i="18"/>
  <c r="AN7" i="18"/>
  <c r="AP7" i="18"/>
  <c r="AR7" i="18"/>
  <c r="AT7" i="18"/>
  <c r="AV7" i="18"/>
  <c r="AX7" i="18"/>
  <c r="AZ7" i="18"/>
  <c r="BB7" i="18"/>
  <c r="BD7" i="18"/>
  <c r="BF7" i="18"/>
  <c r="BH7" i="18"/>
  <c r="BJ7" i="18"/>
  <c r="BL7" i="18"/>
  <c r="B8" i="18"/>
  <c r="D8" i="18"/>
  <c r="F8" i="18"/>
  <c r="H8" i="18"/>
  <c r="J8" i="18"/>
  <c r="L8" i="18"/>
  <c r="N8" i="18"/>
  <c r="P8" i="18"/>
  <c r="R8" i="18"/>
  <c r="T8" i="18"/>
  <c r="V8" i="18"/>
  <c r="X8" i="18"/>
  <c r="Z8" i="18"/>
  <c r="AB8" i="18"/>
  <c r="AD8" i="18"/>
  <c r="AF8" i="18"/>
  <c r="AH8" i="18"/>
  <c r="AJ8" i="18"/>
  <c r="AL8" i="18"/>
  <c r="AN8" i="18"/>
  <c r="AP8" i="18"/>
  <c r="AR8" i="18"/>
  <c r="AT8" i="18"/>
  <c r="AV8" i="18"/>
  <c r="AX8" i="18"/>
  <c r="AZ8" i="18"/>
  <c r="BB8" i="18"/>
  <c r="BD8" i="18"/>
  <c r="BF8" i="18"/>
  <c r="BH8" i="18"/>
  <c r="BJ8" i="18"/>
  <c r="BL8" i="18"/>
  <c r="B9" i="18"/>
  <c r="D9" i="18"/>
  <c r="F9" i="18"/>
  <c r="H9" i="18"/>
  <c r="J9" i="18"/>
  <c r="L9" i="18"/>
  <c r="N9" i="18"/>
  <c r="P9" i="18"/>
  <c r="R9" i="18"/>
  <c r="T9" i="18"/>
  <c r="V9" i="18"/>
  <c r="X9" i="18"/>
  <c r="Z9" i="18"/>
  <c r="AB9" i="18"/>
  <c r="AD9" i="18"/>
  <c r="AF9" i="18"/>
  <c r="AH9" i="18"/>
  <c r="AJ9" i="18"/>
  <c r="AL9" i="18"/>
  <c r="AN9" i="18"/>
  <c r="AP9" i="18"/>
  <c r="AR9" i="18"/>
  <c r="AT9" i="18"/>
  <c r="AV9" i="18"/>
  <c r="AX9" i="18"/>
  <c r="AZ9" i="18"/>
  <c r="BB9" i="18"/>
  <c r="BD9" i="18"/>
  <c r="BF9" i="18"/>
  <c r="BH9" i="18"/>
  <c r="BJ9" i="18"/>
  <c r="BL9" i="18"/>
  <c r="B10" i="18"/>
  <c r="D10" i="18"/>
  <c r="F10" i="18"/>
  <c r="H10" i="18"/>
  <c r="J10" i="18"/>
  <c r="L10" i="18"/>
  <c r="N10" i="18"/>
  <c r="P10" i="18"/>
  <c r="R10" i="18"/>
  <c r="T10" i="18"/>
  <c r="V10" i="18"/>
  <c r="X10" i="18"/>
  <c r="Z10" i="18"/>
  <c r="AB10" i="18"/>
  <c r="AD10" i="18"/>
  <c r="AF10" i="18"/>
  <c r="AH10" i="18"/>
  <c r="AJ10" i="18"/>
  <c r="AL10" i="18"/>
  <c r="AN10" i="18"/>
  <c r="AP10" i="18"/>
  <c r="AR10" i="18"/>
  <c r="AT10" i="18"/>
  <c r="AV10" i="18"/>
  <c r="AX10" i="18"/>
  <c r="AZ10" i="18"/>
  <c r="BB10" i="18"/>
  <c r="BD10" i="18"/>
  <c r="BF10" i="18"/>
  <c r="BH10" i="18"/>
  <c r="BJ10" i="18"/>
  <c r="BL10" i="18"/>
  <c r="B11" i="18"/>
  <c r="D11" i="18"/>
  <c r="F11" i="18"/>
  <c r="H11" i="18"/>
  <c r="J11" i="18"/>
  <c r="L11" i="18"/>
  <c r="N11" i="18"/>
  <c r="P11" i="18"/>
  <c r="R11" i="18"/>
  <c r="T11" i="18"/>
  <c r="V11" i="18"/>
  <c r="X11" i="18"/>
  <c r="Z11" i="18"/>
  <c r="AB11" i="18"/>
  <c r="AD11" i="18"/>
  <c r="AF11" i="18"/>
  <c r="AH11" i="18"/>
  <c r="AJ11" i="18"/>
  <c r="AL11" i="18"/>
  <c r="AN11" i="18"/>
  <c r="AP11" i="18"/>
  <c r="AR11" i="18"/>
  <c r="AT11" i="18"/>
  <c r="AV11" i="18"/>
  <c r="AX11" i="18"/>
  <c r="AZ11" i="18"/>
  <c r="BB11" i="18"/>
  <c r="BD11" i="18"/>
  <c r="B12" i="18"/>
  <c r="D12" i="18"/>
  <c r="F12" i="18"/>
  <c r="H12" i="18"/>
  <c r="J12" i="18"/>
  <c r="L12" i="18"/>
  <c r="N12" i="18"/>
  <c r="P12" i="18"/>
  <c r="R12" i="18"/>
  <c r="T12" i="18"/>
  <c r="V12" i="18"/>
  <c r="X12" i="18"/>
  <c r="Z12" i="18"/>
  <c r="AD12" i="18"/>
  <c r="AF12" i="18"/>
  <c r="AJ12" i="18"/>
  <c r="B13" i="18"/>
  <c r="D13" i="18"/>
  <c r="F13" i="18"/>
  <c r="L13" i="18"/>
  <c r="N13" i="18"/>
  <c r="P13" i="18"/>
  <c r="V13" i="18"/>
  <c r="Z13" i="18"/>
  <c r="AB13" i="18"/>
  <c r="AD13" i="18"/>
  <c r="AF13" i="18"/>
  <c r="AH13" i="18"/>
  <c r="AL13" i="18"/>
  <c r="AP13" i="18"/>
  <c r="AR13" i="18"/>
  <c r="AT13" i="18"/>
  <c r="AV13" i="18"/>
  <c r="AX13" i="18"/>
  <c r="BB13" i="18"/>
  <c r="BF13" i="18"/>
  <c r="BH13" i="18"/>
  <c r="BL13" i="18"/>
  <c r="B14" i="18"/>
  <c r="F14" i="18"/>
  <c r="H14" i="18"/>
  <c r="J14" i="18"/>
  <c r="L14" i="18"/>
  <c r="N14" i="18"/>
  <c r="P14" i="18"/>
  <c r="R14" i="18"/>
  <c r="T14" i="18"/>
  <c r="V14" i="18"/>
  <c r="Z14" i="18"/>
  <c r="AD14" i="18"/>
  <c r="AF14" i="18"/>
  <c r="AH14" i="18"/>
  <c r="AJ14" i="18"/>
  <c r="AL14" i="18"/>
  <c r="AN14" i="18"/>
  <c r="AP14" i="18"/>
  <c r="AR14" i="18"/>
  <c r="AT14" i="18"/>
  <c r="AV14" i="18"/>
  <c r="AZ14" i="18"/>
  <c r="BB14" i="18"/>
  <c r="BD14" i="18"/>
  <c r="BF14" i="18"/>
  <c r="BH14" i="18"/>
  <c r="BJ14" i="18"/>
  <c r="BL14" i="18"/>
  <c r="P15" i="18"/>
  <c r="R15" i="18"/>
  <c r="AD15" i="18"/>
  <c r="AF15" i="18"/>
  <c r="AT15" i="18"/>
  <c r="AV15" i="18"/>
  <c r="BJ16" i="18"/>
  <c r="BL16" i="18"/>
  <c r="B17" i="18"/>
  <c r="D17" i="18"/>
  <c r="F17" i="18"/>
  <c r="N17" i="18"/>
  <c r="AD17" i="18"/>
  <c r="AF17" i="18"/>
  <c r="AH17" i="18"/>
  <c r="AJ17" i="18"/>
  <c r="AT17" i="18"/>
  <c r="AV17" i="18"/>
  <c r="BJ17" i="18"/>
  <c r="B18" i="18"/>
  <c r="D18" i="18"/>
  <c r="F18" i="18"/>
  <c r="J18" i="18"/>
  <c r="L18" i="18"/>
  <c r="N18" i="18"/>
  <c r="P18" i="18"/>
  <c r="R18" i="18"/>
  <c r="T18" i="18"/>
  <c r="V18" i="18"/>
  <c r="X18" i="18"/>
  <c r="Z18" i="18"/>
  <c r="AB18" i="18"/>
  <c r="AD18" i="18"/>
  <c r="AF18" i="18"/>
  <c r="AH18" i="18"/>
  <c r="AJ18" i="18"/>
  <c r="AL18" i="18"/>
  <c r="AN18" i="18"/>
  <c r="AP18" i="18"/>
  <c r="AR18" i="18"/>
  <c r="AT18" i="18"/>
  <c r="AV18" i="18"/>
  <c r="AX18" i="18"/>
  <c r="AZ18" i="18"/>
  <c r="BB18" i="18"/>
  <c r="BF18" i="18"/>
  <c r="BH18" i="18"/>
  <c r="BJ20" i="18"/>
  <c r="BL20" i="18"/>
  <c r="B21" i="18"/>
  <c r="D21" i="18"/>
  <c r="F21" i="18"/>
  <c r="P21" i="18"/>
  <c r="R21" i="18"/>
  <c r="BB21" i="18"/>
  <c r="BD21" i="18"/>
  <c r="L22" i="18"/>
  <c r="AD22" i="18"/>
  <c r="AF22" i="18"/>
  <c r="AH22" i="18"/>
  <c r="AJ22" i="18"/>
  <c r="AN22" i="18"/>
  <c r="AP22" i="18"/>
  <c r="AT22" i="18"/>
  <c r="AV22" i="18"/>
  <c r="AZ22" i="18"/>
  <c r="BB22" i="18"/>
  <c r="BF22" i="18"/>
  <c r="BH22" i="18"/>
  <c r="BL22" i="18"/>
  <c r="B23" i="18"/>
  <c r="D23" i="18"/>
  <c r="F23" i="18"/>
  <c r="H23" i="18"/>
  <c r="L23" i="18"/>
  <c r="N23" i="18"/>
  <c r="R23" i="18"/>
  <c r="T23" i="18"/>
  <c r="X23" i="18"/>
  <c r="Z23" i="18"/>
  <c r="AD23" i="18"/>
  <c r="AF23" i="18"/>
  <c r="AH23" i="18"/>
  <c r="AJ23" i="18"/>
  <c r="AL23" i="18"/>
  <c r="AN23" i="18"/>
  <c r="L24" i="18"/>
  <c r="N24" i="18"/>
  <c r="AV24" i="18"/>
  <c r="AX24" i="18"/>
  <c r="AZ24" i="18"/>
  <c r="BB24" i="18"/>
  <c r="BD24" i="18"/>
  <c r="J25" i="18"/>
  <c r="AT25" i="18"/>
  <c r="BL25" i="18"/>
  <c r="B26" i="18"/>
  <c r="D26" i="18"/>
  <c r="F26" i="18"/>
  <c r="H26" i="18"/>
  <c r="J26" i="18"/>
  <c r="L26" i="18"/>
  <c r="N26" i="18"/>
  <c r="P26" i="18"/>
  <c r="R26" i="18"/>
  <c r="T26" i="18"/>
  <c r="V26" i="18"/>
  <c r="X26" i="18"/>
  <c r="Z26" i="18"/>
  <c r="F130" i="2" l="1"/>
  <c r="B223" i="5"/>
  <c r="C251" i="8"/>
  <c r="G130" i="2"/>
  <c r="C223" i="5"/>
  <c r="B219" i="5"/>
  <c r="B221" i="5" s="1"/>
  <c r="B247" i="8"/>
  <c r="J78" i="2"/>
  <c r="K78" i="2" s="1"/>
  <c r="E70" i="15"/>
  <c r="G54" i="2"/>
  <c r="B25" i="15"/>
  <c r="D57" i="3"/>
  <c r="D61" i="3" s="1"/>
  <c r="C185" i="15"/>
  <c r="BF21" i="18"/>
  <c r="BD18" i="18"/>
  <c r="H18" i="18"/>
  <c r="BL17" i="18"/>
  <c r="B15" i="18"/>
  <c r="AX14" i="18"/>
  <c r="X14" i="18"/>
  <c r="BJ13" i="18"/>
  <c r="R13" i="18"/>
  <c r="J13" i="18"/>
  <c r="L273" i="15"/>
  <c r="C273" i="15"/>
  <c r="C227" i="15"/>
  <c r="D227" i="15" s="1"/>
  <c r="L202" i="15"/>
  <c r="D185" i="15"/>
  <c r="I97" i="15"/>
  <c r="B74" i="15"/>
  <c r="B51" i="15"/>
  <c r="D51" i="15" s="1"/>
  <c r="L34" i="15"/>
  <c r="C21" i="15"/>
  <c r="F14" i="14"/>
  <c r="J83" i="15"/>
  <c r="J97" i="15"/>
  <c r="M121" i="15"/>
  <c r="K207" i="15"/>
  <c r="M273" i="15"/>
  <c r="M278" i="15"/>
  <c r="H163" i="2"/>
  <c r="D231" i="5"/>
  <c r="G15" i="14"/>
  <c r="H15" i="14"/>
  <c r="AH12" i="18"/>
  <c r="C286" i="15"/>
  <c r="C278" i="15"/>
  <c r="C212" i="15"/>
  <c r="L169" i="15"/>
  <c r="C169" i="15"/>
  <c r="L121" i="15"/>
  <c r="K270" i="13"/>
  <c r="H120" i="17" s="1"/>
  <c r="G13" i="14"/>
  <c r="B251" i="8"/>
  <c r="C28" i="8"/>
  <c r="B38" i="8"/>
  <c r="C38" i="8"/>
  <c r="B9" i="10"/>
  <c r="C25" i="8"/>
  <c r="B16" i="9"/>
  <c r="C16" i="9"/>
  <c r="C25" i="5"/>
  <c r="B14" i="7"/>
  <c r="B18" i="6"/>
  <c r="C18" i="6"/>
  <c r="C36" i="5"/>
  <c r="G161" i="2"/>
  <c r="F161" i="2"/>
  <c r="C227" i="5"/>
  <c r="E162" i="2"/>
  <c r="B255" i="8"/>
  <c r="B190" i="15"/>
  <c r="G132" i="2"/>
  <c r="B224" i="5"/>
  <c r="C231" i="15"/>
  <c r="C194" i="15"/>
  <c r="C186" i="15"/>
  <c r="B125" i="15"/>
  <c r="H107" i="15"/>
  <c r="H105" i="15"/>
  <c r="I23" i="15"/>
  <c r="I53" i="15"/>
  <c r="J64" i="15"/>
  <c r="L188" i="15"/>
  <c r="D22" i="3"/>
  <c r="D30" i="3" s="1"/>
  <c r="G176" i="2"/>
  <c r="C123" i="15"/>
  <c r="B143" i="15"/>
  <c r="D118" i="15"/>
  <c r="C81" i="15"/>
  <c r="D79" i="15"/>
  <c r="F34" i="15"/>
  <c r="C44" i="13"/>
  <c r="E164" i="2"/>
  <c r="E151" i="2"/>
  <c r="E149" i="2"/>
  <c r="H57" i="3"/>
  <c r="H58" i="3" s="1"/>
  <c r="C63" i="13"/>
  <c r="B249" i="8"/>
  <c r="E146" i="2"/>
  <c r="E145" i="2"/>
  <c r="C82" i="13"/>
  <c r="A44" i="12"/>
  <c r="E36" i="13"/>
  <c r="E65" i="9"/>
  <c r="C212" i="13"/>
  <c r="C236" i="13"/>
  <c r="C209" i="13"/>
  <c r="E296" i="13"/>
  <c r="C243" i="13"/>
  <c r="B68" i="17" s="1"/>
  <c r="C248" i="13"/>
  <c r="E255" i="13"/>
  <c r="C82" i="17" s="1"/>
  <c r="E320" i="13"/>
  <c r="E34" i="15"/>
  <c r="E111" i="15"/>
  <c r="E169" i="15"/>
  <c r="E188" i="15"/>
  <c r="E212" i="15"/>
  <c r="E273" i="15"/>
  <c r="E278" i="15"/>
  <c r="E286" i="15"/>
  <c r="E266" i="13"/>
  <c r="E272" i="13"/>
  <c r="E284" i="13"/>
  <c r="C305" i="13"/>
  <c r="C308" i="13"/>
  <c r="B53" i="15"/>
  <c r="B83" i="15"/>
  <c r="B97" i="15"/>
  <c r="E121" i="15"/>
  <c r="E202" i="15"/>
  <c r="C207" i="15"/>
  <c r="E231" i="15"/>
  <c r="H118" i="9"/>
  <c r="F203" i="13"/>
  <c r="F215" i="13"/>
  <c r="H221" i="13"/>
  <c r="H230" i="13"/>
  <c r="H257" i="13"/>
  <c r="H281" i="13"/>
  <c r="H302" i="13"/>
  <c r="H254" i="13"/>
  <c r="E23" i="15"/>
  <c r="H34" i="15"/>
  <c r="H111" i="15"/>
  <c r="F207" i="15"/>
  <c r="H212" i="15"/>
  <c r="H278" i="13"/>
  <c r="H290" i="13"/>
  <c r="H293" i="13"/>
  <c r="H317" i="13"/>
  <c r="E53" i="15"/>
  <c r="F64" i="15"/>
  <c r="E83" i="15"/>
  <c r="E97" i="15"/>
  <c r="H121" i="15"/>
  <c r="H169" i="15"/>
  <c r="H188" i="15"/>
  <c r="H202" i="15"/>
  <c r="H231" i="15"/>
  <c r="H273" i="15"/>
  <c r="H278" i="15"/>
  <c r="H286" i="15"/>
  <c r="C229" i="15"/>
  <c r="B198" i="15"/>
  <c r="C198" i="15" s="1"/>
  <c r="C132" i="15"/>
  <c r="B119" i="15"/>
  <c r="D119" i="15" s="1"/>
  <c r="D117" i="15"/>
  <c r="I107" i="15"/>
  <c r="G101" i="15"/>
  <c r="C101" i="15"/>
  <c r="D80" i="15"/>
  <c r="F66" i="15"/>
  <c r="B56" i="15"/>
  <c r="D50" i="15"/>
  <c r="K34" i="15"/>
  <c r="D20" i="15"/>
  <c r="C17" i="15"/>
  <c r="C12" i="15"/>
  <c r="D12" i="15" s="1"/>
  <c r="L118" i="10"/>
  <c r="L4" i="12"/>
  <c r="A51" i="12"/>
  <c r="J4" i="13"/>
  <c r="J68" i="13"/>
  <c r="L230" i="13"/>
  <c r="J243" i="13"/>
  <c r="H68" i="17" s="1"/>
  <c r="J203" i="13"/>
  <c r="J207" i="13"/>
  <c r="H26" i="17" s="1"/>
  <c r="J212" i="13"/>
  <c r="L221" i="13"/>
  <c r="J239" i="13"/>
  <c r="J248" i="13"/>
  <c r="L254" i="13"/>
  <c r="L255" i="13"/>
  <c r="I82" i="17" s="1"/>
  <c r="L257" i="13"/>
  <c r="L266" i="13"/>
  <c r="L267" i="13"/>
  <c r="I92" i="17" s="1"/>
  <c r="L275" i="13"/>
  <c r="L278" i="13"/>
  <c r="L287" i="13"/>
  <c r="L290" i="13"/>
  <c r="L291" i="13"/>
  <c r="I134" i="17" s="1"/>
  <c r="L293" i="13"/>
  <c r="J215" i="13"/>
  <c r="J219" i="13"/>
  <c r="H44" i="17" s="1"/>
  <c r="L231" i="13"/>
  <c r="I58" i="17" s="1"/>
  <c r="J236" i="13"/>
  <c r="J245" i="13"/>
  <c r="L251" i="13"/>
  <c r="J204" i="13"/>
  <c r="H27" i="17" s="1"/>
  <c r="J210" i="13"/>
  <c r="H36" i="17" s="1"/>
  <c r="J234" i="13"/>
  <c r="H64" i="17" s="1"/>
  <c r="J240" i="13"/>
  <c r="H69" i="17" s="1"/>
  <c r="J246" i="13"/>
  <c r="H74" i="17" s="1"/>
  <c r="L252" i="13"/>
  <c r="I83" i="17" s="1"/>
  <c r="L258" i="13"/>
  <c r="I88" i="17" s="1"/>
  <c r="L270" i="13"/>
  <c r="I120" i="17" s="1"/>
  <c r="L276" i="13"/>
  <c r="I125" i="17" s="1"/>
  <c r="L282" i="13"/>
  <c r="I130" i="17" s="1"/>
  <c r="L288" i="13"/>
  <c r="I135" i="17" s="1"/>
  <c r="L222" i="13"/>
  <c r="I50" i="17" s="1"/>
  <c r="F13" i="14"/>
  <c r="K216" i="13"/>
  <c r="M228" i="13"/>
  <c r="I300" i="13"/>
  <c r="F145" i="17" s="1"/>
  <c r="K204" i="13"/>
  <c r="I252" i="13"/>
  <c r="F83" i="17" s="1"/>
  <c r="M252" i="13"/>
  <c r="G222" i="13"/>
  <c r="E50" i="17" s="1"/>
  <c r="G270" i="13"/>
  <c r="E120" i="17" s="1"/>
  <c r="G282" i="13"/>
  <c r="E130" i="17" s="1"/>
  <c r="F9" i="14"/>
  <c r="B291" i="8"/>
  <c r="B7" i="9"/>
  <c r="B15" i="8"/>
  <c r="B124" i="13"/>
  <c r="B227" i="13"/>
  <c r="B225" i="13"/>
  <c r="A49" i="17" s="1"/>
  <c r="B257" i="13"/>
  <c r="B260" i="13"/>
  <c r="B261" i="13"/>
  <c r="A87" i="17" s="1"/>
  <c r="B269" i="13"/>
  <c r="B272" i="13"/>
  <c r="B275" i="13"/>
  <c r="B284" i="13"/>
  <c r="B287" i="13"/>
  <c r="B293" i="13"/>
  <c r="B297" i="13"/>
  <c r="A139" i="17" s="1"/>
  <c r="B221" i="13"/>
  <c r="B224" i="13"/>
  <c r="B251" i="13"/>
  <c r="D40" i="12"/>
  <c r="A14" i="17" s="1"/>
  <c r="B222" i="13"/>
  <c r="A50" i="17" s="1"/>
  <c r="B228" i="13"/>
  <c r="A59" i="17" s="1"/>
  <c r="B264" i="13"/>
  <c r="A93" i="17" s="1"/>
  <c r="B270" i="13"/>
  <c r="A120" i="17" s="1"/>
  <c r="B282" i="13"/>
  <c r="A130" i="17" s="1"/>
  <c r="B300" i="13"/>
  <c r="A145" i="17" s="1"/>
  <c r="B252" i="13"/>
  <c r="A83" i="17" s="1"/>
  <c r="C221" i="13"/>
  <c r="C278" i="13"/>
  <c r="C281" i="13"/>
  <c r="C290" i="13"/>
  <c r="C270" i="13"/>
  <c r="C222" i="13"/>
  <c r="F321" i="13"/>
  <c r="D159" i="17" s="1"/>
  <c r="F320" i="13"/>
  <c r="B320" i="13"/>
  <c r="L318" i="13"/>
  <c r="I160" i="17" s="1"/>
  <c r="G318" i="13"/>
  <c r="E160" i="17" s="1"/>
  <c r="B318" i="13"/>
  <c r="A160" i="17" s="1"/>
  <c r="C317" i="13"/>
  <c r="D314" i="13"/>
  <c r="J312" i="13"/>
  <c r="H155" i="17" s="1"/>
  <c r="J311" i="13"/>
  <c r="D311" i="13"/>
  <c r="I309" i="13"/>
  <c r="G149" i="17" s="1"/>
  <c r="J308" i="13"/>
  <c r="J306" i="13"/>
  <c r="H150" i="17" s="1"/>
  <c r="D306" i="13"/>
  <c r="C150" i="17" s="1"/>
  <c r="J305" i="13"/>
  <c r="L303" i="13"/>
  <c r="I144" i="17" s="1"/>
  <c r="L302" i="13"/>
  <c r="F300" i="13"/>
  <c r="D145" i="17" s="1"/>
  <c r="L299" i="13"/>
  <c r="G294" i="13"/>
  <c r="E140" i="17" s="1"/>
  <c r="I288" i="13"/>
  <c r="F135" i="17" s="1"/>
  <c r="B288" i="13"/>
  <c r="A135" i="17" s="1"/>
  <c r="K282" i="13"/>
  <c r="H130" i="17" s="1"/>
  <c r="L281" i="13"/>
  <c r="B281" i="13"/>
  <c r="L279" i="13"/>
  <c r="I124" i="17" s="1"/>
  <c r="I276" i="13"/>
  <c r="F125" i="17" s="1"/>
  <c r="B276" i="13"/>
  <c r="A125" i="17" s="1"/>
  <c r="L269" i="13"/>
  <c r="L264" i="13"/>
  <c r="I93" i="17" s="1"/>
  <c r="L263" i="13"/>
  <c r="K260" i="13"/>
  <c r="C108" i="15"/>
  <c r="D81" i="15"/>
  <c r="B72" i="15"/>
  <c r="D17" i="15"/>
  <c r="I203" i="13"/>
  <c r="K39" i="9"/>
  <c r="K205" i="8"/>
  <c r="I206" i="13"/>
  <c r="I213" i="13"/>
  <c r="G35" i="17" s="1"/>
  <c r="I218" i="13"/>
  <c r="I237" i="13"/>
  <c r="G63" i="17" s="1"/>
  <c r="I249" i="13"/>
  <c r="G73" i="17" s="1"/>
  <c r="K222" i="13"/>
  <c r="H50" i="17" s="1"/>
  <c r="D49" i="12"/>
  <c r="H14" i="17" s="1"/>
  <c r="I210" i="13"/>
  <c r="G36" i="17" s="1"/>
  <c r="K294" i="13"/>
  <c r="H140" i="17" s="1"/>
  <c r="I234" i="13"/>
  <c r="G64" i="17" s="1"/>
  <c r="I246" i="13"/>
  <c r="G74" i="17" s="1"/>
  <c r="M275" i="13"/>
  <c r="K212" i="13"/>
  <c r="K236" i="13"/>
  <c r="M251" i="13"/>
  <c r="M302" i="13"/>
  <c r="K209" i="13"/>
  <c r="K248" i="13"/>
  <c r="G269" i="13"/>
  <c r="G279" i="13"/>
  <c r="E124" i="17" s="1"/>
  <c r="F7" i="10"/>
  <c r="F100" i="9"/>
  <c r="D96" i="13"/>
  <c r="F124" i="13"/>
  <c r="F164" i="8"/>
  <c r="F21" i="10"/>
  <c r="F80" i="10"/>
  <c r="D209" i="13"/>
  <c r="F224" i="13"/>
  <c r="F225" i="13"/>
  <c r="D49" i="17" s="1"/>
  <c r="D239" i="13"/>
  <c r="D242" i="13"/>
  <c r="D245" i="13"/>
  <c r="D218" i="13"/>
  <c r="F227" i="13"/>
  <c r="D237" i="13"/>
  <c r="C63" i="17" s="1"/>
  <c r="D249" i="13"/>
  <c r="C73" i="17" s="1"/>
  <c r="F251" i="13"/>
  <c r="F260" i="13"/>
  <c r="F263" i="13"/>
  <c r="F272" i="13"/>
  <c r="F273" i="13"/>
  <c r="D119" i="17" s="1"/>
  <c r="F284" i="13"/>
  <c r="F285" i="13"/>
  <c r="D129" i="17" s="1"/>
  <c r="F293" i="13"/>
  <c r="F299" i="13"/>
  <c r="D206" i="13"/>
  <c r="D213" i="13"/>
  <c r="C35" i="17" s="1"/>
  <c r="D233" i="13"/>
  <c r="D210" i="13"/>
  <c r="C36" i="17" s="1"/>
  <c r="D204" i="13"/>
  <c r="C27" i="17" s="1"/>
  <c r="D216" i="13"/>
  <c r="C45" i="17" s="1"/>
  <c r="F222" i="13"/>
  <c r="D50" i="17" s="1"/>
  <c r="F228" i="13"/>
  <c r="D59" i="17" s="1"/>
  <c r="D234" i="13"/>
  <c r="C64" i="17" s="1"/>
  <c r="D246" i="13"/>
  <c r="C74" i="17" s="1"/>
  <c r="F252" i="13"/>
  <c r="D83" i="17" s="1"/>
  <c r="F264" i="13"/>
  <c r="D93" i="17" s="1"/>
  <c r="F276" i="13"/>
  <c r="D125" i="17" s="1"/>
  <c r="F288" i="13"/>
  <c r="D135" i="17" s="1"/>
  <c r="F294" i="13"/>
  <c r="D140" i="17" s="1"/>
  <c r="D240" i="13"/>
  <c r="C69" i="17" s="1"/>
  <c r="C240" i="13"/>
  <c r="B69" i="17" s="1"/>
  <c r="E300" i="13"/>
  <c r="C145" i="17" s="1"/>
  <c r="E228" i="13"/>
  <c r="C59" i="17" s="1"/>
  <c r="B210" i="13"/>
  <c r="A36" i="17" s="1"/>
  <c r="F210" i="13"/>
  <c r="H222" i="13"/>
  <c r="B234" i="13"/>
  <c r="A64" i="17" s="1"/>
  <c r="F234" i="13"/>
  <c r="B246" i="13"/>
  <c r="A74" i="17" s="1"/>
  <c r="F246" i="13"/>
  <c r="D258" i="13"/>
  <c r="B88" i="17" s="1"/>
  <c r="H258" i="13"/>
  <c r="D276" i="13"/>
  <c r="B125" i="17" s="1"/>
  <c r="D288" i="13"/>
  <c r="B135" i="17" s="1"/>
  <c r="B321" i="13"/>
  <c r="A159" i="17" s="1"/>
  <c r="K318" i="13"/>
  <c r="H160" i="17" s="1"/>
  <c r="F318" i="13"/>
  <c r="D160" i="17" s="1"/>
  <c r="L317" i="13"/>
  <c r="F317" i="13"/>
  <c r="B317" i="13"/>
  <c r="J315" i="13"/>
  <c r="H154" i="17" s="1"/>
  <c r="I314" i="13"/>
  <c r="D312" i="13"/>
  <c r="C155" i="17" s="1"/>
  <c r="I311" i="13"/>
  <c r="D309" i="13"/>
  <c r="C149" i="17" s="1"/>
  <c r="I308" i="13"/>
  <c r="I306" i="13"/>
  <c r="G150" i="17" s="1"/>
  <c r="B306" i="13"/>
  <c r="A150" i="17" s="1"/>
  <c r="D305" i="13"/>
  <c r="G303" i="13"/>
  <c r="E144" i="17" s="1"/>
  <c r="C302" i="13"/>
  <c r="L300" i="13"/>
  <c r="I145" i="17" s="1"/>
  <c r="D300" i="13"/>
  <c r="B145" i="17" s="1"/>
  <c r="B299" i="13"/>
  <c r="F297" i="13"/>
  <c r="D139" i="17" s="1"/>
  <c r="B296" i="13"/>
  <c r="L294" i="13"/>
  <c r="I140" i="17" s="1"/>
  <c r="B294" i="13"/>
  <c r="A140" i="17" s="1"/>
  <c r="C293" i="13"/>
  <c r="M290" i="13"/>
  <c r="E288" i="13"/>
  <c r="C135" i="17" s="1"/>
  <c r="F287" i="13"/>
  <c r="B285" i="13"/>
  <c r="A129" i="17" s="1"/>
  <c r="F282" i="13"/>
  <c r="D130" i="17" s="1"/>
  <c r="F281" i="13"/>
  <c r="M278" i="13"/>
  <c r="E276" i="13"/>
  <c r="C125" i="17" s="1"/>
  <c r="F275" i="13"/>
  <c r="B273" i="13"/>
  <c r="A119" i="17" s="1"/>
  <c r="F270" i="13"/>
  <c r="D120" i="17" s="1"/>
  <c r="F269" i="13"/>
  <c r="M266" i="13"/>
  <c r="E264" i="13"/>
  <c r="C93" i="17" s="1"/>
  <c r="B263" i="13"/>
  <c r="F261" i="13"/>
  <c r="D87" i="17" s="1"/>
  <c r="C260" i="13"/>
  <c r="K258" i="13"/>
  <c r="H88" i="17" s="1"/>
  <c r="B258" i="13"/>
  <c r="A88" i="17" s="1"/>
  <c r="F257" i="13"/>
  <c r="G79" i="2"/>
  <c r="G58" i="2"/>
  <c r="C120" i="4"/>
  <c r="B42" i="12"/>
  <c r="B43" i="12"/>
  <c r="B44" i="12" s="1"/>
  <c r="B45" i="12" s="1"/>
  <c r="B46" i="12" s="1"/>
  <c r="B47" i="12" s="1"/>
  <c r="B81" i="6"/>
  <c r="B240" i="8"/>
  <c r="B81" i="9"/>
  <c r="G57" i="2"/>
  <c r="C117" i="4"/>
  <c r="D58" i="3"/>
  <c r="G61" i="3"/>
  <c r="D28" i="3"/>
  <c r="F176" i="2"/>
  <c r="F164" i="2"/>
  <c r="E154" i="2"/>
  <c r="E153" i="2"/>
  <c r="E148" i="2"/>
  <c r="E147" i="2"/>
  <c r="G54" i="3"/>
  <c r="D105" i="15"/>
  <c r="D107" i="15"/>
  <c r="B105" i="15"/>
  <c r="B109" i="15" s="1"/>
  <c r="E104" i="15"/>
  <c r="B108" i="15"/>
  <c r="C107" i="15"/>
  <c r="C105" i="15"/>
  <c r="C106" i="15" s="1"/>
  <c r="F107" i="15"/>
  <c r="F101" i="15"/>
  <c r="J99" i="15"/>
  <c r="H108" i="15"/>
  <c r="H101" i="15"/>
  <c r="D108" i="15"/>
  <c r="D101" i="15"/>
  <c r="E101" i="15" s="1"/>
  <c r="E100" i="15"/>
  <c r="F105" i="15"/>
  <c r="J104" i="15"/>
  <c r="F108" i="15"/>
  <c r="J103" i="15"/>
  <c r="G105" i="15"/>
  <c r="G106" i="15" s="1"/>
  <c r="G107" i="15"/>
  <c r="C37" i="3"/>
  <c r="D99" i="3"/>
  <c r="C279" i="8"/>
  <c r="C93" i="9"/>
  <c r="D6" i="15"/>
  <c r="B7" i="15"/>
  <c r="D7" i="15" s="1"/>
  <c r="B228" i="15"/>
  <c r="B265" i="15"/>
  <c r="D184" i="15"/>
  <c r="J129" i="2"/>
  <c r="H62" i="2"/>
  <c r="G85" i="2"/>
  <c r="H94" i="2"/>
  <c r="J107" i="2"/>
  <c r="J120" i="2"/>
  <c r="J160" i="2"/>
  <c r="J175" i="2"/>
  <c r="H75" i="2"/>
  <c r="H53" i="2"/>
  <c r="E7" i="4"/>
  <c r="G118" i="3"/>
  <c r="G68" i="3"/>
  <c r="G131" i="3"/>
  <c r="E29" i="4"/>
  <c r="E92" i="4"/>
  <c r="G111" i="3"/>
  <c r="G58" i="5"/>
  <c r="G15" i="5"/>
  <c r="G41" i="5"/>
  <c r="E141" i="4"/>
  <c r="G103" i="5"/>
  <c r="G132" i="5"/>
  <c r="G171" i="5"/>
  <c r="G7" i="5"/>
  <c r="G116" i="5"/>
  <c r="G152" i="5"/>
  <c r="G210" i="5"/>
  <c r="G12" i="6"/>
  <c r="G40" i="6"/>
  <c r="G64" i="6"/>
  <c r="G80" i="6"/>
  <c r="G222" i="5"/>
  <c r="G244" i="5"/>
  <c r="G7" i="6"/>
  <c r="G23" i="6"/>
  <c r="E87" i="6"/>
  <c r="G12" i="7"/>
  <c r="G40" i="7"/>
  <c r="G54" i="6"/>
  <c r="G23" i="7"/>
  <c r="E87" i="7"/>
  <c r="G50" i="8"/>
  <c r="G7" i="8"/>
  <c r="G64" i="7"/>
  <c r="G80" i="7"/>
  <c r="G15" i="8"/>
  <c r="G67" i="8"/>
  <c r="G125" i="8"/>
  <c r="G164" i="8"/>
  <c r="G112" i="8"/>
  <c r="G291" i="8"/>
  <c r="G7" i="9"/>
  <c r="G21" i="9"/>
  <c r="G100" i="9"/>
  <c r="G7" i="10"/>
  <c r="G21" i="10"/>
  <c r="G100" i="10"/>
  <c r="G54" i="7"/>
  <c r="G142" i="8"/>
  <c r="G205" i="8"/>
  <c r="G250" i="8"/>
  <c r="G336" i="8"/>
  <c r="G55" i="9"/>
  <c r="G65" i="9"/>
  <c r="G55" i="10"/>
  <c r="G65" i="10"/>
  <c r="G4" i="12"/>
  <c r="G7" i="7"/>
  <c r="G118" i="9"/>
  <c r="G238" i="8"/>
  <c r="G80" i="9"/>
  <c r="G80" i="10"/>
  <c r="E96" i="13"/>
  <c r="G124" i="13"/>
  <c r="E209" i="13"/>
  <c r="G227" i="13"/>
  <c r="E233" i="13"/>
  <c r="E245" i="13"/>
  <c r="G251" i="13"/>
  <c r="G263" i="13"/>
  <c r="G275" i="13"/>
  <c r="G287" i="13"/>
  <c r="G299" i="13"/>
  <c r="E305" i="13"/>
  <c r="D23" i="15"/>
  <c r="A46" i="12"/>
  <c r="G36" i="13"/>
  <c r="E82" i="13"/>
  <c r="E207" i="13"/>
  <c r="D26" i="17" s="1"/>
  <c r="E212" i="13"/>
  <c r="E219" i="13"/>
  <c r="D44" i="17" s="1"/>
  <c r="G230" i="13"/>
  <c r="G231" i="13"/>
  <c r="E58" i="17" s="1"/>
  <c r="E236" i="13"/>
  <c r="E243" i="13"/>
  <c r="D68" i="17" s="1"/>
  <c r="E248" i="13"/>
  <c r="G254" i="13"/>
  <c r="G255" i="13"/>
  <c r="E82" i="17" s="1"/>
  <c r="G266" i="13"/>
  <c r="G267" i="13"/>
  <c r="E92" i="17" s="1"/>
  <c r="G39" i="9"/>
  <c r="G118" i="10"/>
  <c r="E4" i="13"/>
  <c r="E68" i="13"/>
  <c r="E110" i="13"/>
  <c r="E206" i="13"/>
  <c r="E213" i="13"/>
  <c r="D35" i="17" s="1"/>
  <c r="E218" i="13"/>
  <c r="E237" i="13"/>
  <c r="D63" i="17" s="1"/>
  <c r="E249" i="13"/>
  <c r="D73" i="17" s="1"/>
  <c r="G257" i="13"/>
  <c r="G260" i="13"/>
  <c r="G272" i="13"/>
  <c r="G284" i="13"/>
  <c r="G296" i="13"/>
  <c r="G320" i="13"/>
  <c r="D83" i="15"/>
  <c r="D97" i="15"/>
  <c r="G231" i="15"/>
  <c r="E203" i="13"/>
  <c r="E215" i="13"/>
  <c r="G221" i="13"/>
  <c r="G224" i="13"/>
  <c r="G273" i="13"/>
  <c r="E119" i="17" s="1"/>
  <c r="G278" i="13"/>
  <c r="G281" i="13"/>
  <c r="G285" i="13"/>
  <c r="E129" i="17" s="1"/>
  <c r="G290" i="13"/>
  <c r="G293" i="13"/>
  <c r="G297" i="13"/>
  <c r="E139" i="17" s="1"/>
  <c r="G302" i="13"/>
  <c r="G317" i="13"/>
  <c r="G321" i="13"/>
  <c r="E159" i="17" s="1"/>
  <c r="G39" i="10"/>
  <c r="G225" i="13"/>
  <c r="E49" i="17" s="1"/>
  <c r="E308" i="13"/>
  <c r="E309" i="13"/>
  <c r="D149" i="17" s="1"/>
  <c r="E311" i="13"/>
  <c r="E314" i="13"/>
  <c r="G34" i="15"/>
  <c r="D53" i="15"/>
  <c r="G111" i="15"/>
  <c r="G121" i="15"/>
  <c r="G202" i="15"/>
  <c r="G212" i="15"/>
  <c r="C72" i="15"/>
  <c r="F70" i="15"/>
  <c r="E90" i="3"/>
  <c r="B91" i="9"/>
  <c r="B277" i="8"/>
  <c r="B75" i="8" s="1"/>
  <c r="B264" i="15"/>
  <c r="I108" i="15"/>
  <c r="J100" i="15"/>
  <c r="B75" i="15"/>
  <c r="B68" i="15"/>
  <c r="E74" i="15"/>
  <c r="D48" i="12"/>
  <c r="G14" i="17" s="1"/>
  <c r="G12" i="14"/>
  <c r="H210" i="13"/>
  <c r="F36" i="17" s="1"/>
  <c r="J222" i="13"/>
  <c r="G50" i="17" s="1"/>
  <c r="H234" i="13"/>
  <c r="F64" i="17" s="1"/>
  <c r="H246" i="13"/>
  <c r="F74" i="17" s="1"/>
  <c r="J258" i="13"/>
  <c r="G88" i="17" s="1"/>
  <c r="C49" i="12"/>
  <c r="H13" i="17" s="1"/>
  <c r="H204" i="13"/>
  <c r="F27" i="17" s="1"/>
  <c r="H216" i="13"/>
  <c r="F45" i="17" s="1"/>
  <c r="J270" i="13"/>
  <c r="G120" i="17" s="1"/>
  <c r="J282" i="13"/>
  <c r="G130" i="17" s="1"/>
  <c r="J294" i="13"/>
  <c r="G140" i="17" s="1"/>
  <c r="J318" i="13"/>
  <c r="G160" i="17" s="1"/>
  <c r="J228" i="13"/>
  <c r="G59" i="17" s="1"/>
  <c r="H240" i="13"/>
  <c r="F69" i="17" s="1"/>
  <c r="J264" i="13"/>
  <c r="G93" i="17" s="1"/>
  <c r="H306" i="13"/>
  <c r="F150" i="17" s="1"/>
  <c r="H312" i="13"/>
  <c r="F155" i="17" s="1"/>
  <c r="J252" i="13"/>
  <c r="G83" i="17" s="1"/>
  <c r="F12" i="14"/>
  <c r="C40" i="12"/>
  <c r="A13" i="17" s="1"/>
  <c r="F5" i="14"/>
  <c r="G291" i="13"/>
  <c r="E134" i="17" s="1"/>
  <c r="E239" i="13"/>
  <c r="C98" i="3"/>
  <c r="C92" i="3"/>
  <c r="B278" i="8"/>
  <c r="B92" i="9"/>
  <c r="I109" i="15"/>
  <c r="E99" i="15"/>
  <c r="B107" i="15"/>
  <c r="D96" i="3"/>
  <c r="B93" i="10"/>
  <c r="E279" i="8"/>
  <c r="C99" i="3"/>
  <c r="C278" i="8"/>
  <c r="C92" i="9"/>
  <c r="B174" i="5"/>
  <c r="B175" i="5"/>
  <c r="B191" i="5"/>
  <c r="B190" i="5"/>
  <c r="B167" i="8"/>
  <c r="B195" i="8"/>
  <c r="B168" i="8"/>
  <c r="B196" i="8"/>
  <c r="B252" i="15"/>
  <c r="B253" i="15" s="1"/>
  <c r="B186" i="15"/>
  <c r="D186" i="15" s="1"/>
  <c r="C125" i="15"/>
  <c r="E103" i="15"/>
  <c r="C74" i="15"/>
  <c r="G5" i="14"/>
  <c r="A40" i="12" s="1"/>
  <c r="J300" i="13"/>
  <c r="G145" i="17" s="1"/>
  <c r="J276" i="13"/>
  <c r="G125" i="17" s="1"/>
  <c r="G261" i="13"/>
  <c r="E87" i="17" s="1"/>
  <c r="E242" i="13"/>
  <c r="B48" i="12"/>
  <c r="B49" i="12" s="1"/>
  <c r="B50" i="12" s="1"/>
  <c r="B51" i="12" s="1"/>
  <c r="B52" i="12" s="1"/>
  <c r="C41" i="3"/>
  <c r="C93" i="10"/>
  <c r="C96" i="3"/>
  <c r="B92" i="10"/>
  <c r="M169" i="15"/>
  <c r="K121" i="15"/>
  <c r="C121" i="15"/>
  <c r="K111" i="15"/>
  <c r="C111" i="15"/>
  <c r="G108" i="15"/>
  <c r="D74" i="15"/>
  <c r="H53" i="15"/>
  <c r="C34" i="15"/>
  <c r="B30" i="15"/>
  <c r="D11" i="15"/>
  <c r="D5" i="15"/>
  <c r="F15" i="14"/>
  <c r="D51" i="12"/>
  <c r="J14" i="17" s="1"/>
  <c r="D46" i="12"/>
  <c r="F14" i="17" s="1"/>
  <c r="G210" i="13"/>
  <c r="E36" i="17" s="1"/>
  <c r="K210" i="13"/>
  <c r="I222" i="13"/>
  <c r="F50" i="17" s="1"/>
  <c r="M222" i="13"/>
  <c r="G234" i="13"/>
  <c r="E64" i="17" s="1"/>
  <c r="K234" i="13"/>
  <c r="G246" i="13"/>
  <c r="E74" i="17" s="1"/>
  <c r="K246" i="13"/>
  <c r="I258" i="13"/>
  <c r="F88" i="17" s="1"/>
  <c r="M258" i="13"/>
  <c r="I270" i="13"/>
  <c r="F120" i="17" s="1"/>
  <c r="M270" i="13"/>
  <c r="I282" i="13"/>
  <c r="F130" i="17" s="1"/>
  <c r="M282" i="13"/>
  <c r="I294" i="13"/>
  <c r="F140" i="17" s="1"/>
  <c r="M294" i="13"/>
  <c r="G306" i="13"/>
  <c r="E150" i="17" s="1"/>
  <c r="K306" i="13"/>
  <c r="I318" i="13"/>
  <c r="F160" i="17" s="1"/>
  <c r="M318" i="13"/>
  <c r="G11" i="14"/>
  <c r="D45" i="12"/>
  <c r="E14" i="17" s="1"/>
  <c r="E204" i="13"/>
  <c r="D27" i="17" s="1"/>
  <c r="E216" i="13"/>
  <c r="D45" i="17" s="1"/>
  <c r="G228" i="13"/>
  <c r="E59" i="17" s="1"/>
  <c r="E240" i="13"/>
  <c r="D69" i="17" s="1"/>
  <c r="G252" i="13"/>
  <c r="E83" i="17" s="1"/>
  <c r="G264" i="13"/>
  <c r="E93" i="17" s="1"/>
  <c r="G276" i="13"/>
  <c r="E125" i="17" s="1"/>
  <c r="G288" i="13"/>
  <c r="E135" i="17" s="1"/>
  <c r="G300" i="13"/>
  <c r="E145" i="17" s="1"/>
  <c r="E312" i="13"/>
  <c r="D155" i="17" s="1"/>
  <c r="F10" i="14"/>
  <c r="G7" i="14"/>
  <c r="E321" i="13"/>
  <c r="C159" i="17" s="1"/>
  <c r="K320" i="13"/>
  <c r="H318" i="13"/>
  <c r="C318" i="13"/>
  <c r="K314" i="13"/>
  <c r="K312" i="13"/>
  <c r="F312" i="13"/>
  <c r="E306" i="13"/>
  <c r="D150" i="17" s="1"/>
  <c r="M299" i="13"/>
  <c r="H299" i="13"/>
  <c r="E297" i="13"/>
  <c r="C139" i="17" s="1"/>
  <c r="K296" i="13"/>
  <c r="H294" i="13"/>
  <c r="C294" i="13"/>
  <c r="M287" i="13"/>
  <c r="H287" i="13"/>
  <c r="E285" i="13"/>
  <c r="C129" i="17" s="1"/>
  <c r="K284" i="13"/>
  <c r="H282" i="13"/>
  <c r="C282" i="13"/>
  <c r="H275" i="13"/>
  <c r="E273" i="13"/>
  <c r="C119" i="17" s="1"/>
  <c r="K272" i="13"/>
  <c r="H270" i="13"/>
  <c r="H269" i="13"/>
  <c r="C269" i="13"/>
  <c r="H266" i="13"/>
  <c r="M264" i="13"/>
  <c r="E263" i="13"/>
  <c r="F248" i="13"/>
  <c r="K240" i="13"/>
  <c r="F239" i="13"/>
  <c r="F236" i="13"/>
  <c r="E231" i="13"/>
  <c r="C58" i="17" s="1"/>
  <c r="K224" i="13"/>
  <c r="C224" i="13"/>
  <c r="D222" i="13"/>
  <c r="B50" i="17" s="1"/>
  <c r="K221" i="13"/>
  <c r="G216" i="13"/>
  <c r="E45" i="17" s="1"/>
  <c r="I215" i="13"/>
  <c r="F212" i="13"/>
  <c r="G204" i="13"/>
  <c r="E27" i="17" s="1"/>
  <c r="F68" i="13"/>
  <c r="E278" i="8"/>
  <c r="B31" i="15"/>
  <c r="D21" i="15"/>
  <c r="D15" i="15"/>
  <c r="L53" i="2"/>
  <c r="N160" i="2"/>
  <c r="N175" i="2"/>
  <c r="N129" i="2"/>
  <c r="L62" i="2"/>
  <c r="K85" i="2"/>
  <c r="L94" i="2"/>
  <c r="N107" i="2"/>
  <c r="N120" i="2"/>
  <c r="I7" i="4"/>
  <c r="K118" i="3"/>
  <c r="L75" i="2"/>
  <c r="K68" i="3"/>
  <c r="K111" i="3"/>
  <c r="I29" i="4"/>
  <c r="K131" i="3"/>
  <c r="I92" i="4"/>
  <c r="K58" i="5"/>
  <c r="I141" i="4"/>
  <c r="K15" i="5"/>
  <c r="K41" i="5"/>
  <c r="K103" i="5"/>
  <c r="K132" i="5"/>
  <c r="K171" i="5"/>
  <c r="K116" i="5"/>
  <c r="K152" i="5"/>
  <c r="K210" i="5"/>
  <c r="K7" i="5"/>
  <c r="K12" i="6"/>
  <c r="K40" i="6"/>
  <c r="K64" i="6"/>
  <c r="K80" i="6"/>
  <c r="K7" i="6"/>
  <c r="K23" i="6"/>
  <c r="I87" i="6"/>
  <c r="K12" i="7"/>
  <c r="K40" i="7"/>
  <c r="K222" i="5"/>
  <c r="K54" i="6"/>
  <c r="K7" i="7"/>
  <c r="K54" i="7"/>
  <c r="I87" i="7"/>
  <c r="K50" i="8"/>
  <c r="K7" i="8"/>
  <c r="K244" i="5"/>
  <c r="K64" i="7"/>
  <c r="K80" i="7"/>
  <c r="K15" i="8"/>
  <c r="K67" i="8"/>
  <c r="K23" i="7"/>
  <c r="K125" i="8"/>
  <c r="K164" i="8"/>
  <c r="K112" i="8"/>
  <c r="K291" i="8"/>
  <c r="K7" i="9"/>
  <c r="K21" i="9"/>
  <c r="K100" i="9"/>
  <c r="K7" i="10"/>
  <c r="K21" i="10"/>
  <c r="K100" i="10"/>
  <c r="K238" i="8"/>
  <c r="K336" i="8"/>
  <c r="K55" i="9"/>
  <c r="K65" i="9"/>
  <c r="K55" i="10"/>
  <c r="K65" i="10"/>
  <c r="K4" i="12"/>
  <c r="K142" i="8"/>
  <c r="K118" i="9"/>
  <c r="K250" i="8"/>
  <c r="K39" i="10"/>
  <c r="K118" i="10"/>
  <c r="A50" i="12"/>
  <c r="I96" i="13"/>
  <c r="K124" i="13"/>
  <c r="I209" i="13"/>
  <c r="K227" i="13"/>
  <c r="I233" i="13"/>
  <c r="I245" i="13"/>
  <c r="K251" i="13"/>
  <c r="K263" i="13"/>
  <c r="K275" i="13"/>
  <c r="K287" i="13"/>
  <c r="K299" i="13"/>
  <c r="I305" i="13"/>
  <c r="H23" i="15"/>
  <c r="K80" i="9"/>
  <c r="K36" i="13"/>
  <c r="I82" i="13"/>
  <c r="I207" i="13"/>
  <c r="G26" i="17" s="1"/>
  <c r="I212" i="13"/>
  <c r="I219" i="13"/>
  <c r="G44" i="17" s="1"/>
  <c r="K230" i="13"/>
  <c r="K231" i="13"/>
  <c r="H58" i="17" s="1"/>
  <c r="I236" i="13"/>
  <c r="I243" i="13"/>
  <c r="G68" i="17" s="1"/>
  <c r="I248" i="13"/>
  <c r="K254" i="13"/>
  <c r="K255" i="13"/>
  <c r="H82" i="17" s="1"/>
  <c r="K266" i="13"/>
  <c r="K267" i="13"/>
  <c r="H92" i="17" s="1"/>
  <c r="K80" i="10"/>
  <c r="I4" i="13"/>
  <c r="I68" i="13"/>
  <c r="N75" i="2"/>
  <c r="P107" i="2"/>
  <c r="P120" i="2"/>
  <c r="N53" i="2"/>
  <c r="N62" i="2"/>
  <c r="M85" i="2"/>
  <c r="N94" i="2"/>
  <c r="P160" i="2"/>
  <c r="P175" i="2"/>
  <c r="M68" i="3"/>
  <c r="M131" i="3"/>
  <c r="M111" i="3"/>
  <c r="K7" i="4"/>
  <c r="M118" i="3"/>
  <c r="P129" i="2"/>
  <c r="K29" i="4"/>
  <c r="K92" i="4"/>
  <c r="K141" i="4"/>
  <c r="M7" i="5"/>
  <c r="M58" i="5"/>
  <c r="M116" i="5"/>
  <c r="M210" i="5"/>
  <c r="M15" i="5"/>
  <c r="M152" i="5"/>
  <c r="M103" i="5"/>
  <c r="M132" i="5"/>
  <c r="M171" i="5"/>
  <c r="M244" i="5"/>
  <c r="M41" i="5"/>
  <c r="M54" i="6"/>
  <c r="M7" i="7"/>
  <c r="M23" i="7"/>
  <c r="M12" i="6"/>
  <c r="M40" i="6"/>
  <c r="M64" i="6"/>
  <c r="M80" i="6"/>
  <c r="M23" i="6"/>
  <c r="M12" i="7"/>
  <c r="M40" i="7"/>
  <c r="M7" i="6"/>
  <c r="M54" i="7"/>
  <c r="M64" i="7"/>
  <c r="M80" i="7"/>
  <c r="M15" i="8"/>
  <c r="K87" i="6"/>
  <c r="M7" i="8"/>
  <c r="K87" i="7"/>
  <c r="M112" i="8"/>
  <c r="M238" i="8"/>
  <c r="M50" i="8"/>
  <c r="M142" i="8"/>
  <c r="M205" i="8"/>
  <c r="M250" i="8"/>
  <c r="M222" i="5"/>
  <c r="M67" i="8"/>
  <c r="M125" i="8"/>
  <c r="M164" i="8"/>
  <c r="M118" i="9"/>
  <c r="M118" i="10"/>
  <c r="M39" i="9"/>
  <c r="M80" i="9"/>
  <c r="M39" i="10"/>
  <c r="M80" i="10"/>
  <c r="M291" i="8"/>
  <c r="M7" i="9"/>
  <c r="M21" i="9"/>
  <c r="M100" i="9"/>
  <c r="M7" i="10"/>
  <c r="M21" i="10"/>
  <c r="M4" i="12"/>
  <c r="K4" i="13"/>
  <c r="K68" i="13"/>
  <c r="K203" i="13"/>
  <c r="K215" i="13"/>
  <c r="M221" i="13"/>
  <c r="K239" i="13"/>
  <c r="M257" i="13"/>
  <c r="M269" i="13"/>
  <c r="M281" i="13"/>
  <c r="M293" i="13"/>
  <c r="K311" i="13"/>
  <c r="M317" i="13"/>
  <c r="M336" i="8"/>
  <c r="M65" i="9"/>
  <c r="K110" i="13"/>
  <c r="K206" i="13"/>
  <c r="K218" i="13"/>
  <c r="M224" i="13"/>
  <c r="K242" i="13"/>
  <c r="M260" i="13"/>
  <c r="M55" i="9"/>
  <c r="M65" i="10"/>
  <c r="A52" i="12"/>
  <c r="K96" i="13"/>
  <c r="M124" i="13"/>
  <c r="F75" i="2"/>
  <c r="H107" i="2"/>
  <c r="H120" i="2"/>
  <c r="F53" i="2"/>
  <c r="F62" i="2"/>
  <c r="E85" i="2"/>
  <c r="F94" i="2"/>
  <c r="H129" i="2"/>
  <c r="H160" i="2"/>
  <c r="H175" i="2"/>
  <c r="E68" i="3"/>
  <c r="E131" i="3"/>
  <c r="E111" i="3"/>
  <c r="E118" i="3"/>
  <c r="C7" i="4"/>
  <c r="C29" i="4"/>
  <c r="C92" i="4"/>
  <c r="C141" i="4"/>
  <c r="E7" i="5"/>
  <c r="E58" i="5"/>
  <c r="E116" i="5"/>
  <c r="E210" i="5"/>
  <c r="E152" i="5"/>
  <c r="E103" i="5"/>
  <c r="E132" i="5"/>
  <c r="E171" i="5"/>
  <c r="E222" i="5"/>
  <c r="E244" i="5"/>
  <c r="E15" i="5"/>
  <c r="E54" i="6"/>
  <c r="E7" i="7"/>
  <c r="E23" i="7"/>
  <c r="E54" i="7"/>
  <c r="E12" i="6"/>
  <c r="E40" i="6"/>
  <c r="E64" i="6"/>
  <c r="E80" i="6"/>
  <c r="E12" i="7"/>
  <c r="E40" i="7"/>
  <c r="C87" i="6"/>
  <c r="E80" i="7"/>
  <c r="E15" i="8"/>
  <c r="E41" i="5"/>
  <c r="E7" i="6"/>
  <c r="E7" i="8"/>
  <c r="E112" i="8"/>
  <c r="E238" i="8"/>
  <c r="E50" i="8"/>
  <c r="E142" i="8"/>
  <c r="E205" i="8"/>
  <c r="E250" i="8"/>
  <c r="E64" i="7"/>
  <c r="C87" i="7"/>
  <c r="E67" i="8"/>
  <c r="E125" i="8"/>
  <c r="E164" i="8"/>
  <c r="E118" i="9"/>
  <c r="E118" i="10"/>
  <c r="E39" i="9"/>
  <c r="E80" i="9"/>
  <c r="E39" i="10"/>
  <c r="E80" i="10"/>
  <c r="E291" i="8"/>
  <c r="E7" i="9"/>
  <c r="E21" i="9"/>
  <c r="E100" i="9"/>
  <c r="E7" i="10"/>
  <c r="E21" i="10"/>
  <c r="E55" i="9"/>
  <c r="E65" i="10"/>
  <c r="E4" i="12"/>
  <c r="C4" i="13"/>
  <c r="C68" i="13"/>
  <c r="C203" i="13"/>
  <c r="C215" i="13"/>
  <c r="E221" i="13"/>
  <c r="C239" i="13"/>
  <c r="E257" i="13"/>
  <c r="E269" i="13"/>
  <c r="E281" i="13"/>
  <c r="E293" i="13"/>
  <c r="C311" i="13"/>
  <c r="E317" i="13"/>
  <c r="E55" i="10"/>
  <c r="C110" i="13"/>
  <c r="C206" i="13"/>
  <c r="C213" i="13"/>
  <c r="B35" i="17" s="1"/>
  <c r="C218" i="13"/>
  <c r="E224" i="13"/>
  <c r="E225" i="13"/>
  <c r="C49" i="17" s="1"/>
  <c r="C237" i="13"/>
  <c r="B63" i="17" s="1"/>
  <c r="C242" i="13"/>
  <c r="C249" i="13"/>
  <c r="B73" i="17" s="1"/>
  <c r="E260" i="13"/>
  <c r="E261" i="13"/>
  <c r="C87" i="17" s="1"/>
  <c r="E23" i="6"/>
  <c r="C96" i="13"/>
  <c r="E124" i="13"/>
  <c r="D43" i="12"/>
  <c r="C14" i="17" s="1"/>
  <c r="C210" i="13"/>
  <c r="B36" i="17" s="1"/>
  <c r="E222" i="13"/>
  <c r="C50" i="17" s="1"/>
  <c r="C234" i="13"/>
  <c r="B64" i="17" s="1"/>
  <c r="C246" i="13"/>
  <c r="B74" i="17" s="1"/>
  <c r="E258" i="13"/>
  <c r="C88" i="17" s="1"/>
  <c r="E270" i="13"/>
  <c r="C120" i="17" s="1"/>
  <c r="E282" i="13"/>
  <c r="C130" i="17" s="1"/>
  <c r="E294" i="13"/>
  <c r="C140" i="17" s="1"/>
  <c r="C306" i="13"/>
  <c r="B150" i="17" s="1"/>
  <c r="E318" i="13"/>
  <c r="C160" i="17" s="1"/>
  <c r="C44" i="12"/>
  <c r="D13" i="17" s="1"/>
  <c r="F129" i="2"/>
  <c r="F160" i="2"/>
  <c r="F175" i="2"/>
  <c r="F107" i="2"/>
  <c r="F120" i="2"/>
  <c r="C118" i="3"/>
  <c r="C68" i="3"/>
  <c r="C111" i="3"/>
  <c r="C131" i="3"/>
  <c r="C58" i="5"/>
  <c r="C15" i="5"/>
  <c r="C41" i="5"/>
  <c r="C103" i="5"/>
  <c r="C132" i="5"/>
  <c r="C171" i="5"/>
  <c r="C7" i="5"/>
  <c r="C116" i="5"/>
  <c r="C210" i="5"/>
  <c r="C152" i="5"/>
  <c r="C222" i="5"/>
  <c r="C12" i="6"/>
  <c r="C40" i="6"/>
  <c r="C64" i="6"/>
  <c r="C80" i="6"/>
  <c r="C7" i="6"/>
  <c r="C23" i="6"/>
  <c r="C12" i="7"/>
  <c r="C40" i="7"/>
  <c r="C54" i="6"/>
  <c r="C7" i="7"/>
  <c r="C54" i="7"/>
  <c r="C64" i="7"/>
  <c r="C50" i="8"/>
  <c r="C7" i="8"/>
  <c r="C80" i="7"/>
  <c r="C15" i="8"/>
  <c r="C67" i="8"/>
  <c r="C125" i="8"/>
  <c r="C164" i="8"/>
  <c r="C244" i="5"/>
  <c r="C112" i="8"/>
  <c r="C142" i="8"/>
  <c r="C291" i="8"/>
  <c r="C7" i="9"/>
  <c r="C21" i="9"/>
  <c r="C100" i="9"/>
  <c r="C7" i="10"/>
  <c r="C21" i="10"/>
  <c r="C100" i="10"/>
  <c r="C238" i="8"/>
  <c r="C336" i="8"/>
  <c r="C55" i="9"/>
  <c r="C65" i="9"/>
  <c r="C55" i="10"/>
  <c r="C65" i="10"/>
  <c r="C4" i="12"/>
  <c r="C23" i="7"/>
  <c r="C118" i="9"/>
  <c r="C118" i="10"/>
  <c r="C124" i="13"/>
  <c r="C227" i="13"/>
  <c r="C251" i="13"/>
  <c r="C263" i="13"/>
  <c r="C275" i="13"/>
  <c r="C287" i="13"/>
  <c r="C299" i="13"/>
  <c r="C39" i="9"/>
  <c r="C36" i="13"/>
  <c r="C230" i="13"/>
  <c r="C254" i="13"/>
  <c r="C266" i="13"/>
  <c r="C205" i="8"/>
  <c r="C39" i="10"/>
  <c r="C80" i="10"/>
  <c r="A42" i="12"/>
  <c r="C228" i="13"/>
  <c r="C252" i="13"/>
  <c r="C264" i="13"/>
  <c r="C276" i="13"/>
  <c r="C288" i="13"/>
  <c r="C300" i="13"/>
  <c r="F4" i="14"/>
  <c r="C320" i="13"/>
  <c r="I315" i="13"/>
  <c r="G154" i="17" s="1"/>
  <c r="C315" i="13"/>
  <c r="B154" i="17" s="1"/>
  <c r="C314" i="13"/>
  <c r="C312" i="13"/>
  <c r="B155" i="17" s="1"/>
  <c r="C309" i="13"/>
  <c r="B149" i="17" s="1"/>
  <c r="K303" i="13"/>
  <c r="H144" i="17" s="1"/>
  <c r="E303" i="13"/>
  <c r="C144" i="17" s="1"/>
  <c r="E299" i="13"/>
  <c r="C296" i="13"/>
  <c r="K291" i="13"/>
  <c r="H134" i="17" s="1"/>
  <c r="E291" i="13"/>
  <c r="C134" i="17" s="1"/>
  <c r="E287" i="13"/>
  <c r="C284" i="13"/>
  <c r="K279" i="13"/>
  <c r="H124" i="17" s="1"/>
  <c r="E279" i="13"/>
  <c r="C124" i="17" s="1"/>
  <c r="E275" i="13"/>
  <c r="C272" i="13"/>
  <c r="C258" i="13"/>
  <c r="C257" i="13"/>
  <c r="E251" i="13"/>
  <c r="K245" i="13"/>
  <c r="K233" i="13"/>
  <c r="C233" i="13"/>
  <c r="M230" i="13"/>
  <c r="E230" i="13"/>
  <c r="K225" i="13"/>
  <c r="H49" i="17" s="1"/>
  <c r="C216" i="13"/>
  <c r="B45" i="17" s="1"/>
  <c r="C204" i="13"/>
  <c r="B27" i="17" s="1"/>
  <c r="I110" i="13"/>
  <c r="K82" i="13"/>
  <c r="B65" i="13"/>
  <c r="C65" i="13"/>
  <c r="F4" i="13"/>
  <c r="C48" i="12"/>
  <c r="G13" i="17" s="1"/>
  <c r="H118" i="10"/>
  <c r="M100" i="10"/>
  <c r="M55" i="10"/>
  <c r="C80" i="9"/>
  <c r="E336" i="8"/>
  <c r="F279" i="8"/>
  <c r="C250" i="8"/>
  <c r="F278" i="8"/>
  <c r="C92" i="10"/>
  <c r="D98" i="3"/>
  <c r="C36" i="3"/>
  <c r="D92" i="3"/>
  <c r="B93" i="9"/>
  <c r="D93" i="9" s="1"/>
  <c r="B279" i="8"/>
  <c r="H97" i="15"/>
  <c r="H83" i="15"/>
  <c r="K64" i="15"/>
  <c r="C64" i="15"/>
  <c r="B55" i="15"/>
  <c r="M34" i="15"/>
  <c r="B23" i="15"/>
  <c r="D16" i="15"/>
  <c r="D10" i="15"/>
  <c r="I204" i="13"/>
  <c r="G27" i="17" s="1"/>
  <c r="I216" i="13"/>
  <c r="G45" i="17" s="1"/>
  <c r="K228" i="13"/>
  <c r="H59" i="17" s="1"/>
  <c r="I240" i="13"/>
  <c r="G69" i="17" s="1"/>
  <c r="K252" i="13"/>
  <c r="H83" i="17" s="1"/>
  <c r="K264" i="13"/>
  <c r="H93" i="17" s="1"/>
  <c r="K276" i="13"/>
  <c r="H125" i="17" s="1"/>
  <c r="K288" i="13"/>
  <c r="H135" i="17" s="1"/>
  <c r="K300" i="13"/>
  <c r="H145" i="17" s="1"/>
  <c r="I312" i="13"/>
  <c r="G155" i="17" s="1"/>
  <c r="C50" i="12"/>
  <c r="I13" i="17" s="1"/>
  <c r="F8" i="14"/>
  <c r="I53" i="2"/>
  <c r="I62" i="2"/>
  <c r="H85" i="2"/>
  <c r="I94" i="2"/>
  <c r="K107" i="2"/>
  <c r="K120" i="2"/>
  <c r="K160" i="2"/>
  <c r="K175" i="2"/>
  <c r="I75" i="2"/>
  <c r="K129" i="2"/>
  <c r="H111" i="3"/>
  <c r="H68" i="3"/>
  <c r="F7" i="4"/>
  <c r="H131" i="3"/>
  <c r="F29" i="4"/>
  <c r="F92" i="4"/>
  <c r="H118" i="3"/>
  <c r="F141" i="4"/>
  <c r="H7" i="5"/>
  <c r="H58" i="5"/>
  <c r="H15" i="5"/>
  <c r="H41" i="5"/>
  <c r="H152" i="5"/>
  <c r="H222" i="5"/>
  <c r="H103" i="5"/>
  <c r="H132" i="5"/>
  <c r="H171" i="5"/>
  <c r="H210" i="5"/>
  <c r="H116" i="5"/>
  <c r="H244" i="5"/>
  <c r="H54" i="7"/>
  <c r="H12" i="6"/>
  <c r="H40" i="6"/>
  <c r="H64" i="6"/>
  <c r="H80" i="6"/>
  <c r="H7" i="6"/>
  <c r="H23" i="6"/>
  <c r="F87" i="6"/>
  <c r="H64" i="7"/>
  <c r="H80" i="7"/>
  <c r="H15" i="8"/>
  <c r="H67" i="8"/>
  <c r="H12" i="7"/>
  <c r="H23" i="7"/>
  <c r="H40" i="7"/>
  <c r="F87" i="7"/>
  <c r="H7" i="7"/>
  <c r="H142" i="8"/>
  <c r="H205" i="8"/>
  <c r="H250" i="8"/>
  <c r="H125" i="8"/>
  <c r="H164" i="8"/>
  <c r="H7" i="8"/>
  <c r="H50" i="8"/>
  <c r="H238" i="8"/>
  <c r="H39" i="9"/>
  <c r="H80" i="9"/>
  <c r="H39" i="10"/>
  <c r="H80" i="10"/>
  <c r="H291" i="8"/>
  <c r="H7" i="9"/>
  <c r="H21" i="9"/>
  <c r="H100" i="9"/>
  <c r="H7" i="10"/>
  <c r="H21" i="10"/>
  <c r="H100" i="10"/>
  <c r="H112" i="8"/>
  <c r="H336" i="8"/>
  <c r="H55" i="9"/>
  <c r="H65" i="9"/>
  <c r="H55" i="10"/>
  <c r="H65" i="10"/>
  <c r="A47" i="12"/>
  <c r="F110" i="13"/>
  <c r="F206" i="13"/>
  <c r="F218" i="13"/>
  <c r="H224" i="13"/>
  <c r="F242" i="13"/>
  <c r="H260" i="13"/>
  <c r="H272" i="13"/>
  <c r="H284" i="13"/>
  <c r="H296" i="13"/>
  <c r="F314" i="13"/>
  <c r="H320" i="13"/>
  <c r="H54" i="6"/>
  <c r="H4" i="12"/>
  <c r="F96" i="13"/>
  <c r="H124" i="13"/>
  <c r="F209" i="13"/>
  <c r="H227" i="13"/>
  <c r="F233" i="13"/>
  <c r="F245" i="13"/>
  <c r="H251" i="13"/>
  <c r="H263" i="13"/>
  <c r="H36" i="13"/>
  <c r="F82" i="13"/>
  <c r="F18" i="2"/>
  <c r="F19" i="2"/>
  <c r="F20" i="2"/>
  <c r="F17" i="2"/>
  <c r="F7" i="14"/>
  <c r="D41" i="12"/>
  <c r="B14" i="17" s="1"/>
  <c r="B204" i="13"/>
  <c r="A27" i="17" s="1"/>
  <c r="F204" i="13"/>
  <c r="B216" i="13"/>
  <c r="A45" i="17" s="1"/>
  <c r="F216" i="13"/>
  <c r="D228" i="13"/>
  <c r="B59" i="17" s="1"/>
  <c r="H228" i="13"/>
  <c r="B240" i="13"/>
  <c r="A69" i="17" s="1"/>
  <c r="F240" i="13"/>
  <c r="D252" i="13"/>
  <c r="B83" i="17" s="1"/>
  <c r="H252" i="13"/>
  <c r="D264" i="13"/>
  <c r="B93" i="17" s="1"/>
  <c r="H264" i="13"/>
  <c r="C43" i="12"/>
  <c r="C13" i="17" s="1"/>
  <c r="G4" i="14"/>
  <c r="K321" i="13"/>
  <c r="H159" i="17" s="1"/>
  <c r="M320" i="13"/>
  <c r="D318" i="13"/>
  <c r="B160" i="17" s="1"/>
  <c r="K317" i="13"/>
  <c r="G312" i="13"/>
  <c r="E155" i="17" s="1"/>
  <c r="B312" i="13"/>
  <c r="A155" i="17" s="1"/>
  <c r="F311" i="13"/>
  <c r="K308" i="13"/>
  <c r="F308" i="13"/>
  <c r="F306" i="13"/>
  <c r="K305" i="13"/>
  <c r="F305" i="13"/>
  <c r="K302" i="13"/>
  <c r="E302" i="13"/>
  <c r="M300" i="13"/>
  <c r="H300" i="13"/>
  <c r="K297" i="13"/>
  <c r="H139" i="17" s="1"/>
  <c r="M296" i="13"/>
  <c r="D294" i="13"/>
  <c r="B140" i="17" s="1"/>
  <c r="K293" i="13"/>
  <c r="K290" i="13"/>
  <c r="E290" i="13"/>
  <c r="M288" i="13"/>
  <c r="H288" i="13"/>
  <c r="K285" i="13"/>
  <c r="H129" i="17" s="1"/>
  <c r="M284" i="13"/>
  <c r="D282" i="13"/>
  <c r="B130" i="17" s="1"/>
  <c r="K281" i="13"/>
  <c r="K278" i="13"/>
  <c r="E278" i="13"/>
  <c r="M276" i="13"/>
  <c r="H276" i="13"/>
  <c r="K273" i="13"/>
  <c r="H119" i="17" s="1"/>
  <c r="M272" i="13"/>
  <c r="D270" i="13"/>
  <c r="B120" i="17" s="1"/>
  <c r="K269" i="13"/>
  <c r="E267" i="13"/>
  <c r="C92" i="17" s="1"/>
  <c r="I264" i="13"/>
  <c r="F93" i="17" s="1"/>
  <c r="M263" i="13"/>
  <c r="K261" i="13"/>
  <c r="H87" i="17" s="1"/>
  <c r="G258" i="13"/>
  <c r="E88" i="17" s="1"/>
  <c r="M254" i="13"/>
  <c r="E254" i="13"/>
  <c r="E252" i="13"/>
  <c r="C83" i="17" s="1"/>
  <c r="E246" i="13"/>
  <c r="D74" i="17" s="1"/>
  <c r="C245" i="13"/>
  <c r="I242" i="13"/>
  <c r="G240" i="13"/>
  <c r="E69" i="17" s="1"/>
  <c r="I239" i="13"/>
  <c r="E234" i="13"/>
  <c r="D64" i="17" s="1"/>
  <c r="I228" i="13"/>
  <c r="F59" i="17" s="1"/>
  <c r="M227" i="13"/>
  <c r="E227" i="13"/>
  <c r="C219" i="13"/>
  <c r="B44" i="17" s="1"/>
  <c r="E210" i="13"/>
  <c r="D36" i="17" s="1"/>
  <c r="C207" i="13"/>
  <c r="B26" i="17" s="1"/>
  <c r="B56" i="13"/>
  <c r="C56" i="13"/>
  <c r="B54" i="13"/>
  <c r="B46" i="13"/>
  <c r="B60" i="13"/>
  <c r="C46" i="13"/>
  <c r="C60" i="13"/>
  <c r="B44" i="13"/>
  <c r="M36" i="13"/>
  <c r="C46" i="12"/>
  <c r="F13" i="17" s="1"/>
  <c r="E100" i="10"/>
  <c r="D110" i="13"/>
  <c r="J82" i="13"/>
  <c r="L36" i="13"/>
  <c r="D50" i="12"/>
  <c r="I14" i="17" s="1"/>
  <c r="A45" i="12"/>
  <c r="A41" i="12"/>
  <c r="B100" i="10"/>
  <c r="B21" i="10"/>
  <c r="B100" i="9"/>
  <c r="F21" i="9"/>
  <c r="F291" i="8"/>
  <c r="L112" i="8"/>
  <c r="J233" i="13"/>
  <c r="L228" i="13"/>
  <c r="I59" i="17" s="1"/>
  <c r="L227" i="13"/>
  <c r="F221" i="13"/>
  <c r="J216" i="13"/>
  <c r="H45" i="17" s="1"/>
  <c r="D215" i="13"/>
  <c r="J209" i="13"/>
  <c r="D203" i="13"/>
  <c r="L124" i="13"/>
  <c r="J96" i="13"/>
  <c r="D68" i="13"/>
  <c r="D4" i="13"/>
  <c r="B80" i="10"/>
  <c r="B21" i="9"/>
  <c r="M53" i="2"/>
  <c r="M62" i="2"/>
  <c r="L85" i="2"/>
  <c r="M94" i="2"/>
  <c r="M75" i="2"/>
  <c r="O160" i="2"/>
  <c r="O175" i="2"/>
  <c r="O129" i="2"/>
  <c r="L111" i="3"/>
  <c r="O107" i="2"/>
  <c r="O120" i="2"/>
  <c r="L68" i="3"/>
  <c r="L118" i="3"/>
  <c r="J29" i="4"/>
  <c r="J7" i="4"/>
  <c r="J92" i="4"/>
  <c r="L131" i="3"/>
  <c r="L7" i="5"/>
  <c r="L58" i="5"/>
  <c r="J141" i="4"/>
  <c r="L15" i="5"/>
  <c r="L152" i="5"/>
  <c r="L222" i="5"/>
  <c r="L103" i="5"/>
  <c r="L132" i="5"/>
  <c r="L171" i="5"/>
  <c r="L41" i="5"/>
  <c r="L244" i="5"/>
  <c r="L54" i="7"/>
  <c r="L210" i="5"/>
  <c r="L12" i="6"/>
  <c r="L40" i="6"/>
  <c r="L64" i="6"/>
  <c r="L80" i="6"/>
  <c r="L116" i="5"/>
  <c r="L7" i="6"/>
  <c r="L23" i="6"/>
  <c r="J87" i="6"/>
  <c r="L64" i="7"/>
  <c r="L80" i="7"/>
  <c r="L15" i="8"/>
  <c r="L67" i="8"/>
  <c r="L7" i="7"/>
  <c r="J87" i="7"/>
  <c r="L54" i="6"/>
  <c r="L12" i="7"/>
  <c r="L23" i="7"/>
  <c r="L40" i="7"/>
  <c r="L50" i="8"/>
  <c r="L142" i="8"/>
  <c r="L205" i="8"/>
  <c r="L250" i="8"/>
  <c r="L125" i="8"/>
  <c r="L164" i="8"/>
  <c r="L39" i="9"/>
  <c r="L80" i="9"/>
  <c r="L39" i="10"/>
  <c r="L80" i="10"/>
  <c r="L7" i="8"/>
  <c r="L291" i="8"/>
  <c r="L7" i="9"/>
  <c r="L21" i="9"/>
  <c r="L100" i="9"/>
  <c r="L7" i="10"/>
  <c r="L21" i="10"/>
  <c r="L100" i="10"/>
  <c r="L238" i="8"/>
  <c r="L336" i="8"/>
  <c r="L55" i="9"/>
  <c r="L65" i="9"/>
  <c r="L55" i="10"/>
  <c r="L65" i="10"/>
  <c r="G75" i="2"/>
  <c r="I107" i="2"/>
  <c r="I120" i="2"/>
  <c r="G53" i="2"/>
  <c r="I129" i="2"/>
  <c r="G62" i="2"/>
  <c r="F118" i="3"/>
  <c r="F68" i="3"/>
  <c r="F131" i="3"/>
  <c r="I175" i="2"/>
  <c r="F111" i="3"/>
  <c r="G94" i="2"/>
  <c r="F85" i="2"/>
  <c r="D7" i="4"/>
  <c r="D29" i="4"/>
  <c r="D141" i="4"/>
  <c r="I160" i="2"/>
  <c r="D92" i="4"/>
  <c r="F15" i="5"/>
  <c r="F41" i="5"/>
  <c r="F7" i="5"/>
  <c r="F58" i="5"/>
  <c r="F116" i="5"/>
  <c r="F210" i="5"/>
  <c r="F152" i="5"/>
  <c r="F132" i="5"/>
  <c r="F171" i="5"/>
  <c r="F103" i="5"/>
  <c r="F222" i="5"/>
  <c r="F244" i="5"/>
  <c r="F7" i="6"/>
  <c r="F23" i="6"/>
  <c r="D87" i="6"/>
  <c r="F12" i="7"/>
  <c r="F40" i="7"/>
  <c r="F64" i="7"/>
  <c r="F54" i="6"/>
  <c r="F7" i="7"/>
  <c r="F23" i="7"/>
  <c r="F64" i="6"/>
  <c r="F80" i="6"/>
  <c r="F7" i="8"/>
  <c r="F12" i="6"/>
  <c r="F54" i="7"/>
  <c r="F40" i="6"/>
  <c r="D87" i="7"/>
  <c r="F50" i="8"/>
  <c r="F15" i="8"/>
  <c r="F112" i="8"/>
  <c r="F238" i="8"/>
  <c r="F80" i="7"/>
  <c r="F142" i="8"/>
  <c r="F205" i="8"/>
  <c r="F250" i="8"/>
  <c r="F336" i="8"/>
  <c r="F55" i="9"/>
  <c r="F65" i="9"/>
  <c r="F55" i="10"/>
  <c r="F65" i="10"/>
  <c r="F4" i="12"/>
  <c r="F125" i="8"/>
  <c r="F118" i="9"/>
  <c r="F118" i="10"/>
  <c r="F67" i="8"/>
  <c r="F39" i="9"/>
  <c r="F80" i="9"/>
  <c r="F39" i="10"/>
  <c r="D44" i="12"/>
  <c r="D14" i="17" s="1"/>
  <c r="E107" i="2"/>
  <c r="E120" i="2"/>
  <c r="E129" i="2"/>
  <c r="B118" i="3"/>
  <c r="E175" i="2"/>
  <c r="B68" i="3"/>
  <c r="B131" i="3"/>
  <c r="E160" i="2"/>
  <c r="B111" i="3"/>
  <c r="B15" i="5"/>
  <c r="B41" i="5"/>
  <c r="B7" i="5"/>
  <c r="B116" i="5"/>
  <c r="B210" i="5"/>
  <c r="B152" i="5"/>
  <c r="B103" i="5"/>
  <c r="B132" i="5"/>
  <c r="B171" i="5"/>
  <c r="B7" i="6"/>
  <c r="B23" i="6"/>
  <c r="B12" i="7"/>
  <c r="B40" i="7"/>
  <c r="B64" i="7"/>
  <c r="B54" i="6"/>
  <c r="B7" i="7"/>
  <c r="B23" i="7"/>
  <c r="B244" i="5"/>
  <c r="B12" i="6"/>
  <c r="B7" i="8"/>
  <c r="B222" i="5"/>
  <c r="B58" i="5"/>
  <c r="B64" i="6"/>
  <c r="B80" i="6"/>
  <c r="B54" i="7"/>
  <c r="B50" i="8"/>
  <c r="B40" i="6"/>
  <c r="B80" i="7"/>
  <c r="B67" i="8"/>
  <c r="B112" i="8"/>
  <c r="B238" i="8"/>
  <c r="B142" i="8"/>
  <c r="B125" i="8"/>
  <c r="B336" i="8"/>
  <c r="B55" i="9"/>
  <c r="B65" i="9"/>
  <c r="B55" i="10"/>
  <c r="B65" i="10"/>
  <c r="B4" i="12"/>
  <c r="B118" i="9"/>
  <c r="B118" i="10"/>
  <c r="B164" i="8"/>
  <c r="B205" i="8"/>
  <c r="B250" i="8"/>
  <c r="B39" i="9"/>
  <c r="B80" i="9"/>
  <c r="B39" i="10"/>
  <c r="L321" i="13"/>
  <c r="I159" i="17" s="1"/>
  <c r="L320" i="13"/>
  <c r="D315" i="13"/>
  <c r="C154" i="17" s="1"/>
  <c r="J314" i="13"/>
  <c r="J309" i="13"/>
  <c r="H149" i="17" s="1"/>
  <c r="D308" i="13"/>
  <c r="F303" i="13"/>
  <c r="D144" i="17" s="1"/>
  <c r="B303" i="13"/>
  <c r="A144" i="17" s="1"/>
  <c r="F302" i="13"/>
  <c r="B302" i="13"/>
  <c r="L297" i="13"/>
  <c r="I139" i="17" s="1"/>
  <c r="L296" i="13"/>
  <c r="F291" i="13"/>
  <c r="D134" i="17" s="1"/>
  <c r="B291" i="13"/>
  <c r="A134" i="17" s="1"/>
  <c r="F290" i="13"/>
  <c r="B290" i="13"/>
  <c r="L285" i="13"/>
  <c r="I129" i="17" s="1"/>
  <c r="L284" i="13"/>
  <c r="F279" i="13"/>
  <c r="D124" i="17" s="1"/>
  <c r="B279" i="13"/>
  <c r="A124" i="17" s="1"/>
  <c r="F278" i="13"/>
  <c r="B278" i="13"/>
  <c r="L273" i="13"/>
  <c r="I119" i="17" s="1"/>
  <c r="L272" i="13"/>
  <c r="F267" i="13"/>
  <c r="D92" i="17" s="1"/>
  <c r="B267" i="13"/>
  <c r="A92" i="17" s="1"/>
  <c r="F266" i="13"/>
  <c r="B266" i="13"/>
  <c r="L261" i="13"/>
  <c r="I87" i="17" s="1"/>
  <c r="L260" i="13"/>
  <c r="F255" i="13"/>
  <c r="D82" i="17" s="1"/>
  <c r="B255" i="13"/>
  <c r="A82" i="17" s="1"/>
  <c r="F254" i="13"/>
  <c r="B254" i="13"/>
  <c r="J249" i="13"/>
  <c r="H73" i="17" s="1"/>
  <c r="D248" i="13"/>
  <c r="D243" i="13"/>
  <c r="C68" i="17" s="1"/>
  <c r="J242" i="13"/>
  <c r="J237" i="13"/>
  <c r="H63" i="17" s="1"/>
  <c r="D236" i="13"/>
  <c r="F231" i="13"/>
  <c r="D58" i="17" s="1"/>
  <c r="B231" i="13"/>
  <c r="A58" i="17" s="1"/>
  <c r="F230" i="13"/>
  <c r="B230" i="13"/>
  <c r="L225" i="13"/>
  <c r="I49" i="17" s="1"/>
  <c r="L224" i="13"/>
  <c r="D219" i="13"/>
  <c r="C44" i="17" s="1"/>
  <c r="J218" i="13"/>
  <c r="J213" i="13"/>
  <c r="H35" i="17" s="1"/>
  <c r="D212" i="13"/>
  <c r="D207" i="13"/>
  <c r="C26" i="17" s="1"/>
  <c r="J206" i="13"/>
  <c r="J110" i="13"/>
  <c r="D82" i="13"/>
  <c r="F36" i="13"/>
  <c r="B36" i="13"/>
  <c r="C51" i="12"/>
  <c r="J13" i="17" s="1"/>
  <c r="C45" i="12"/>
  <c r="E13" i="17" s="1"/>
  <c r="C41" i="12"/>
  <c r="B13" i="17" s="1"/>
  <c r="F100" i="10"/>
  <c r="B7" i="10"/>
  <c r="L118" i="9"/>
  <c r="F7" i="9"/>
  <c r="B45" i="8"/>
  <c r="C35" i="8"/>
  <c r="C45" i="8"/>
  <c r="C235" i="5"/>
  <c r="C22" i="5"/>
  <c r="B36" i="5"/>
  <c r="C18" i="5"/>
  <c r="B32" i="5"/>
  <c r="C32" i="5"/>
  <c r="C40" i="3"/>
  <c r="C42" i="3" s="1"/>
  <c r="G62" i="3"/>
  <c r="G59" i="3"/>
  <c r="F77" i="2"/>
  <c r="D54" i="3"/>
  <c r="D60" i="3"/>
  <c r="E27" i="3"/>
  <c r="D41" i="3" s="1"/>
  <c r="C31" i="3"/>
  <c r="E26" i="3"/>
  <c r="C28" i="3"/>
  <c r="E28" i="3" s="1"/>
  <c r="F40" i="3" s="1"/>
  <c r="C30" i="3"/>
  <c r="H60" i="3"/>
  <c r="H55" i="2"/>
  <c r="I55" i="2" s="1"/>
  <c r="H176" i="2"/>
  <c r="G178" i="2"/>
  <c r="F29" i="2"/>
  <c r="D23" i="3"/>
  <c r="D31" i="3" s="1"/>
  <c r="F162" i="2"/>
  <c r="G162" i="2"/>
  <c r="K108" i="2"/>
  <c r="L108" i="2"/>
  <c r="K76" i="2"/>
  <c r="C24" i="3"/>
  <c r="F177" i="2"/>
  <c r="G177" i="2"/>
  <c r="H161" i="2"/>
  <c r="E152" i="2"/>
  <c r="E36" i="3"/>
  <c r="E38" i="3"/>
  <c r="F121" i="2"/>
  <c r="E122" i="2"/>
  <c r="C81" i="7" s="1"/>
  <c r="G121" i="2"/>
  <c r="E178" i="2"/>
  <c r="I76" i="2"/>
  <c r="I78" i="2"/>
  <c r="D251" i="8" l="1"/>
  <c r="D223" i="5"/>
  <c r="BH21" i="18"/>
  <c r="H130" i="2"/>
  <c r="F75" i="8"/>
  <c r="D71" i="8"/>
  <c r="AL22" i="18"/>
  <c r="A4" i="17"/>
  <c r="B91" i="3" s="1"/>
  <c r="G164" i="2"/>
  <c r="B232" i="5"/>
  <c r="C232" i="5"/>
  <c r="B260" i="8"/>
  <c r="B195" i="15"/>
  <c r="AD24" i="18"/>
  <c r="C260" i="8"/>
  <c r="C228" i="5"/>
  <c r="B256" i="8"/>
  <c r="B191" i="15"/>
  <c r="B228" i="5"/>
  <c r="BF23" i="18"/>
  <c r="C256" i="8"/>
  <c r="J23" i="18"/>
  <c r="B10" i="17"/>
  <c r="C257" i="8"/>
  <c r="D255" i="8"/>
  <c r="D263" i="8" s="1"/>
  <c r="D227" i="5"/>
  <c r="D235" i="5" s="1"/>
  <c r="D190" i="15"/>
  <c r="D198" i="15" s="1"/>
  <c r="AP23" i="18"/>
  <c r="AL17" i="18"/>
  <c r="G70" i="15"/>
  <c r="G74" i="15" s="1"/>
  <c r="E22" i="3"/>
  <c r="E30" i="3" s="1"/>
  <c r="I75" i="8"/>
  <c r="C109" i="15"/>
  <c r="B106" i="15"/>
  <c r="C263" i="8"/>
  <c r="AR22" i="18"/>
  <c r="A7" i="17"/>
  <c r="B94" i="3" s="1"/>
  <c r="H132" i="2"/>
  <c r="D252" i="8"/>
  <c r="D224" i="5"/>
  <c r="N22" i="18"/>
  <c r="K257" i="13"/>
  <c r="K212" i="15"/>
  <c r="K286" i="15"/>
  <c r="K169" i="15"/>
  <c r="K188" i="15"/>
  <c r="K278" i="15"/>
  <c r="K202" i="15"/>
  <c r="K273" i="15"/>
  <c r="I64" i="15"/>
  <c r="I207" i="15"/>
  <c r="K231" i="15"/>
  <c r="I163" i="2"/>
  <c r="E259" i="8"/>
  <c r="E194" i="15"/>
  <c r="P24" i="18"/>
  <c r="E231" i="5"/>
  <c r="H54" i="2"/>
  <c r="C26" i="15"/>
  <c r="C25" i="15"/>
  <c r="D15" i="18"/>
  <c r="B263" i="8"/>
  <c r="B4" i="17"/>
  <c r="BJ22" i="18"/>
  <c r="D123" i="15"/>
  <c r="BF24" i="18"/>
  <c r="C190" i="15"/>
  <c r="B192" i="15"/>
  <c r="D40" i="3"/>
  <c r="D42" i="3" s="1"/>
  <c r="K71" i="8"/>
  <c r="G71" i="8"/>
  <c r="G24" i="9" s="1"/>
  <c r="D93" i="10"/>
  <c r="B1" i="17"/>
  <c r="BD22" i="18"/>
  <c r="C7" i="17"/>
  <c r="AB23" i="18"/>
  <c r="H57" i="2"/>
  <c r="D117" i="4"/>
  <c r="AH15" i="18"/>
  <c r="E75" i="8"/>
  <c r="A10" i="17"/>
  <c r="B95" i="3" s="1"/>
  <c r="AX22" i="18"/>
  <c r="C4" i="17"/>
  <c r="V23" i="18"/>
  <c r="H58" i="2"/>
  <c r="D120" i="4"/>
  <c r="AX15" i="18"/>
  <c r="H79" i="2"/>
  <c r="D71" i="15"/>
  <c r="AX17" i="18"/>
  <c r="D62" i="3"/>
  <c r="D59" i="3"/>
  <c r="F28" i="9"/>
  <c r="L19" i="2"/>
  <c r="C56" i="3"/>
  <c r="D40" i="15"/>
  <c r="E40" i="15" s="1"/>
  <c r="F40" i="15" s="1"/>
  <c r="G40" i="15" s="1"/>
  <c r="D175" i="15"/>
  <c r="E175" i="15" s="1"/>
  <c r="B40" i="15"/>
  <c r="AN13" i="18"/>
  <c r="B175" i="15"/>
  <c r="B167" i="15"/>
  <c r="I28" i="9"/>
  <c r="D278" i="8"/>
  <c r="I278" i="8"/>
  <c r="B94" i="9"/>
  <c r="J105" i="15"/>
  <c r="L17" i="2"/>
  <c r="C52" i="3"/>
  <c r="B166" i="15"/>
  <c r="B36" i="15"/>
  <c r="H13" i="18"/>
  <c r="B171" i="15"/>
  <c r="D171" i="15" s="1"/>
  <c r="B71" i="8"/>
  <c r="D97" i="3"/>
  <c r="D100" i="3"/>
  <c r="B61" i="15"/>
  <c r="J75" i="2"/>
  <c r="L107" i="2"/>
  <c r="L120" i="2"/>
  <c r="J53" i="2"/>
  <c r="J62" i="2"/>
  <c r="I85" i="2"/>
  <c r="J94" i="2"/>
  <c r="L160" i="2"/>
  <c r="L175" i="2"/>
  <c r="I68" i="3"/>
  <c r="I131" i="3"/>
  <c r="I111" i="3"/>
  <c r="L129" i="2"/>
  <c r="I118" i="3"/>
  <c r="G7" i="4"/>
  <c r="G92" i="4"/>
  <c r="G29" i="4"/>
  <c r="G141" i="4"/>
  <c r="I7" i="5"/>
  <c r="I15" i="5"/>
  <c r="I116" i="5"/>
  <c r="I210" i="5"/>
  <c r="I41" i="5"/>
  <c r="I152" i="5"/>
  <c r="I58" i="5"/>
  <c r="I103" i="5"/>
  <c r="I132" i="5"/>
  <c r="I171" i="5"/>
  <c r="I244" i="5"/>
  <c r="I222" i="5"/>
  <c r="I54" i="6"/>
  <c r="I7" i="7"/>
  <c r="I23" i="7"/>
  <c r="I54" i="7"/>
  <c r="I12" i="6"/>
  <c r="I40" i="6"/>
  <c r="I64" i="6"/>
  <c r="I80" i="6"/>
  <c r="I7" i="6"/>
  <c r="I64" i="7"/>
  <c r="I80" i="7"/>
  <c r="I15" i="8"/>
  <c r="I23" i="6"/>
  <c r="I7" i="8"/>
  <c r="I12" i="7"/>
  <c r="I67" i="8"/>
  <c r="I112" i="8"/>
  <c r="I238" i="8"/>
  <c r="G87" i="6"/>
  <c r="I142" i="8"/>
  <c r="I205" i="8"/>
  <c r="I250" i="8"/>
  <c r="I125" i="8"/>
  <c r="I164" i="8"/>
  <c r="I40" i="7"/>
  <c r="I118" i="9"/>
  <c r="I118" i="10"/>
  <c r="I39" i="9"/>
  <c r="I80" i="9"/>
  <c r="I39" i="10"/>
  <c r="I80" i="10"/>
  <c r="I291" i="8"/>
  <c r="I7" i="9"/>
  <c r="I21" i="9"/>
  <c r="I100" i="9"/>
  <c r="I7" i="10"/>
  <c r="I21" i="10"/>
  <c r="G87" i="7"/>
  <c r="I336" i="8"/>
  <c r="I65" i="9"/>
  <c r="G4" i="13"/>
  <c r="G68" i="13"/>
  <c r="G203" i="13"/>
  <c r="G215" i="13"/>
  <c r="I221" i="13"/>
  <c r="G239" i="13"/>
  <c r="I257" i="13"/>
  <c r="I269" i="13"/>
  <c r="I281" i="13"/>
  <c r="I293" i="13"/>
  <c r="G311" i="13"/>
  <c r="I317" i="13"/>
  <c r="I50" i="8"/>
  <c r="I55" i="9"/>
  <c r="I65" i="10"/>
  <c r="I100" i="10"/>
  <c r="G110" i="13"/>
  <c r="G206" i="13"/>
  <c r="G213" i="13"/>
  <c r="E35" i="17" s="1"/>
  <c r="K213" i="13"/>
  <c r="G218" i="13"/>
  <c r="I224" i="13"/>
  <c r="I225" i="13"/>
  <c r="F49" i="17" s="1"/>
  <c r="M225" i="13"/>
  <c r="G237" i="13"/>
  <c r="E63" i="17" s="1"/>
  <c r="K237" i="13"/>
  <c r="G242" i="13"/>
  <c r="G249" i="13"/>
  <c r="E73" i="17" s="1"/>
  <c r="K249" i="13"/>
  <c r="I260" i="13"/>
  <c r="I261" i="13"/>
  <c r="F87" i="17" s="1"/>
  <c r="M261" i="13"/>
  <c r="I55" i="10"/>
  <c r="I4" i="12"/>
  <c r="A48" i="12"/>
  <c r="G96" i="13"/>
  <c r="I124" i="13"/>
  <c r="G82" i="13"/>
  <c r="K207" i="13"/>
  <c r="G209" i="13"/>
  <c r="G212" i="13"/>
  <c r="K219" i="13"/>
  <c r="G236" i="13"/>
  <c r="G243" i="13"/>
  <c r="E68" i="17" s="1"/>
  <c r="G248" i="13"/>
  <c r="I255" i="13"/>
  <c r="F82" i="17" s="1"/>
  <c r="I266" i="13"/>
  <c r="M267" i="13"/>
  <c r="I275" i="13"/>
  <c r="I279" i="13"/>
  <c r="F124" i="17" s="1"/>
  <c r="I287" i="13"/>
  <c r="I291" i="13"/>
  <c r="F134" i="17" s="1"/>
  <c r="I299" i="13"/>
  <c r="I303" i="13"/>
  <c r="F144" i="17" s="1"/>
  <c r="G309" i="13"/>
  <c r="E149" i="17" s="1"/>
  <c r="G314" i="13"/>
  <c r="G315" i="13"/>
  <c r="E154" i="17" s="1"/>
  <c r="G64" i="15"/>
  <c r="I188" i="15"/>
  <c r="I273" i="15"/>
  <c r="I278" i="15"/>
  <c r="I286" i="15"/>
  <c r="I231" i="13"/>
  <c r="F58" i="17" s="1"/>
  <c r="I263" i="13"/>
  <c r="I272" i="13"/>
  <c r="M273" i="13"/>
  <c r="I284" i="13"/>
  <c r="M285" i="13"/>
  <c r="I296" i="13"/>
  <c r="M297" i="13"/>
  <c r="G305" i="13"/>
  <c r="G308" i="13"/>
  <c r="I320" i="13"/>
  <c r="M321" i="13"/>
  <c r="I34" i="15"/>
  <c r="F53" i="15"/>
  <c r="I36" i="13"/>
  <c r="I230" i="13"/>
  <c r="M231" i="13"/>
  <c r="G233" i="13"/>
  <c r="I251" i="13"/>
  <c r="I278" i="13"/>
  <c r="M279" i="13"/>
  <c r="I290" i="13"/>
  <c r="M291" i="13"/>
  <c r="I302" i="13"/>
  <c r="M303" i="13"/>
  <c r="K309" i="13"/>
  <c r="K315" i="13"/>
  <c r="F23" i="15"/>
  <c r="I169" i="15"/>
  <c r="G207" i="15"/>
  <c r="G207" i="13"/>
  <c r="E26" i="17" s="1"/>
  <c r="I227" i="13"/>
  <c r="I285" i="13"/>
  <c r="F129" i="17" s="1"/>
  <c r="K243" i="13"/>
  <c r="M255" i="13"/>
  <c r="I231" i="15"/>
  <c r="I111" i="15"/>
  <c r="I212" i="15"/>
  <c r="G245" i="13"/>
  <c r="I267" i="13"/>
  <c r="F92" i="17" s="1"/>
  <c r="I273" i="13"/>
  <c r="F119" i="17" s="1"/>
  <c r="I297" i="13"/>
  <c r="F139" i="17" s="1"/>
  <c r="I321" i="13"/>
  <c r="F159" i="17" s="1"/>
  <c r="F83" i="15"/>
  <c r="F97" i="15"/>
  <c r="I121" i="15"/>
  <c r="I202" i="15"/>
  <c r="G219" i="13"/>
  <c r="E44" i="17" s="1"/>
  <c r="I254" i="13"/>
  <c r="I71" i="8"/>
  <c r="B60" i="15"/>
  <c r="B62" i="15"/>
  <c r="C168" i="8"/>
  <c r="B67" i="10"/>
  <c r="C67" i="10"/>
  <c r="A95" i="17"/>
  <c r="C191" i="5"/>
  <c r="B70" i="7"/>
  <c r="C70" i="7"/>
  <c r="J278" i="8"/>
  <c r="C100" i="3"/>
  <c r="C97" i="3"/>
  <c r="J71" i="8"/>
  <c r="B266" i="15"/>
  <c r="B229" i="15"/>
  <c r="D229" i="15" s="1"/>
  <c r="D228" i="15"/>
  <c r="J279" i="8"/>
  <c r="H106" i="15"/>
  <c r="H109" i="15"/>
  <c r="E108" i="15"/>
  <c r="I161" i="2"/>
  <c r="E227" i="5"/>
  <c r="E255" i="8"/>
  <c r="AR23" i="18"/>
  <c r="E190" i="15"/>
  <c r="B64" i="13"/>
  <c r="B57" i="13"/>
  <c r="C64" i="13"/>
  <c r="C57" i="13"/>
  <c r="B66" i="13"/>
  <c r="C66" i="13"/>
  <c r="L18" i="2"/>
  <c r="C53" i="3"/>
  <c r="B37" i="15"/>
  <c r="D37" i="15" s="1"/>
  <c r="B172" i="15"/>
  <c r="D172" i="15" s="1"/>
  <c r="X13" i="18"/>
  <c r="K24" i="9"/>
  <c r="E28" i="9"/>
  <c r="C196" i="8"/>
  <c r="B74" i="10"/>
  <c r="C74" i="10"/>
  <c r="A116" i="17"/>
  <c r="L78" i="2"/>
  <c r="H70" i="15"/>
  <c r="AN17" i="18"/>
  <c r="D36" i="3"/>
  <c r="H53" i="3"/>
  <c r="AB14" i="18"/>
  <c r="J55" i="2"/>
  <c r="D28" i="15"/>
  <c r="D29" i="15"/>
  <c r="T15" i="18"/>
  <c r="L75" i="8"/>
  <c r="G122" i="2"/>
  <c r="H121" i="2"/>
  <c r="D212" i="5"/>
  <c r="D112" i="15"/>
  <c r="T21" i="18"/>
  <c r="E23" i="3"/>
  <c r="H178" i="2"/>
  <c r="I176" i="2"/>
  <c r="E123" i="15"/>
  <c r="BH24" i="18"/>
  <c r="I130" i="2"/>
  <c r="E223" i="5"/>
  <c r="E251" i="8"/>
  <c r="BJ21" i="18"/>
  <c r="L71" i="8"/>
  <c r="L20" i="2"/>
  <c r="C57" i="3"/>
  <c r="D41" i="15"/>
  <c r="B41" i="15"/>
  <c r="B176" i="15"/>
  <c r="E41" i="15"/>
  <c r="F41" i="15" s="1"/>
  <c r="G41" i="15" s="1"/>
  <c r="D176" i="15"/>
  <c r="BD13" i="18"/>
  <c r="C44" i="3"/>
  <c r="C38" i="3"/>
  <c r="F74" i="15"/>
  <c r="B197" i="8"/>
  <c r="A117" i="17" s="1"/>
  <c r="C197" i="8"/>
  <c r="B74" i="9"/>
  <c r="C74" i="9"/>
  <c r="C195" i="8"/>
  <c r="A115" i="17"/>
  <c r="C175" i="5"/>
  <c r="B66" i="7"/>
  <c r="C66" i="7"/>
  <c r="E107" i="15"/>
  <c r="J75" i="8"/>
  <c r="J108" i="15"/>
  <c r="F109" i="15"/>
  <c r="J101" i="15"/>
  <c r="F106" i="15"/>
  <c r="G109" i="15"/>
  <c r="B9" i="3"/>
  <c r="C32" i="3"/>
  <c r="C29" i="3"/>
  <c r="G77" i="2"/>
  <c r="C67" i="15"/>
  <c r="P17" i="18"/>
  <c r="C75" i="8"/>
  <c r="B28" i="9"/>
  <c r="C28" i="9"/>
  <c r="C231" i="13"/>
  <c r="C255" i="13"/>
  <c r="C267" i="13"/>
  <c r="C261" i="13"/>
  <c r="C225" i="13"/>
  <c r="C279" i="13"/>
  <c r="C291" i="13"/>
  <c r="C303" i="13"/>
  <c r="C273" i="13"/>
  <c r="C297" i="13"/>
  <c r="C321" i="13"/>
  <c r="C285" i="13"/>
  <c r="B192" i="5"/>
  <c r="C192" i="5"/>
  <c r="C190" i="5"/>
  <c r="B70" i="6"/>
  <c r="C70" i="6"/>
  <c r="F178" i="2"/>
  <c r="B127" i="15"/>
  <c r="C127" i="15"/>
  <c r="AB25" i="18"/>
  <c r="H162" i="2"/>
  <c r="D228" i="5"/>
  <c r="D256" i="8"/>
  <c r="BH23" i="18"/>
  <c r="D191" i="15"/>
  <c r="D127" i="15"/>
  <c r="AD25" i="18"/>
  <c r="F71" i="8"/>
  <c r="E44" i="3"/>
  <c r="D12" i="3"/>
  <c r="E43" i="3"/>
  <c r="E46" i="3"/>
  <c r="E45" i="3"/>
  <c r="G179" i="2"/>
  <c r="H177" i="2"/>
  <c r="D124" i="15"/>
  <c r="L25" i="18"/>
  <c r="F122" i="2"/>
  <c r="B213" i="5"/>
  <c r="C213" i="5"/>
  <c r="C241" i="8"/>
  <c r="B113" i="15"/>
  <c r="C113" i="15"/>
  <c r="AJ21" i="18"/>
  <c r="C1" i="17"/>
  <c r="P23" i="18"/>
  <c r="L76" i="2"/>
  <c r="H66" i="15"/>
  <c r="H17" i="18"/>
  <c r="M108" i="2"/>
  <c r="H21" i="18"/>
  <c r="D24" i="3"/>
  <c r="F42" i="3"/>
  <c r="B104" i="3"/>
  <c r="B286" i="8" s="1"/>
  <c r="F41" i="3"/>
  <c r="C81" i="10"/>
  <c r="D75" i="8"/>
  <c r="D53" i="8" s="1"/>
  <c r="K75" i="8"/>
  <c r="D279" i="8"/>
  <c r="I279" i="8"/>
  <c r="E71" i="8"/>
  <c r="G278" i="8"/>
  <c r="E53" i="2"/>
  <c r="E62" i="2"/>
  <c r="E94" i="2"/>
  <c r="E75" i="2"/>
  <c r="G160" i="2"/>
  <c r="G175" i="2"/>
  <c r="G107" i="2"/>
  <c r="D111" i="3"/>
  <c r="G120" i="2"/>
  <c r="G129" i="2"/>
  <c r="D118" i="3"/>
  <c r="B7" i="4"/>
  <c r="B29" i="4"/>
  <c r="B92" i="4"/>
  <c r="D68" i="3"/>
  <c r="D131" i="3"/>
  <c r="D7" i="5"/>
  <c r="D58" i="5"/>
  <c r="B141" i="4"/>
  <c r="D15" i="5"/>
  <c r="D152" i="5"/>
  <c r="D222" i="5"/>
  <c r="D103" i="5"/>
  <c r="D132" i="5"/>
  <c r="D171" i="5"/>
  <c r="D41" i="5"/>
  <c r="D116" i="5"/>
  <c r="D244" i="5"/>
  <c r="D210" i="5"/>
  <c r="D54" i="7"/>
  <c r="D12" i="6"/>
  <c r="D40" i="6"/>
  <c r="D64" i="6"/>
  <c r="D80" i="6"/>
  <c r="D7" i="6"/>
  <c r="D23" i="6"/>
  <c r="B87" i="6"/>
  <c r="D80" i="7"/>
  <c r="D15" i="8"/>
  <c r="D67" i="8"/>
  <c r="D54" i="6"/>
  <c r="D7" i="7"/>
  <c r="D64" i="7"/>
  <c r="B87" i="7"/>
  <c r="D12" i="7"/>
  <c r="D23" i="7"/>
  <c r="D40" i="7"/>
  <c r="D50" i="8"/>
  <c r="D142" i="8"/>
  <c r="D205" i="8"/>
  <c r="D250" i="8"/>
  <c r="D7" i="8"/>
  <c r="D125" i="8"/>
  <c r="D164" i="8"/>
  <c r="D39" i="9"/>
  <c r="D80" i="9"/>
  <c r="D39" i="10"/>
  <c r="D80" i="10"/>
  <c r="D112" i="8"/>
  <c r="D291" i="8"/>
  <c r="D7" i="9"/>
  <c r="D21" i="9"/>
  <c r="D100" i="9"/>
  <c r="D7" i="10"/>
  <c r="D21" i="10"/>
  <c r="D100" i="10"/>
  <c r="D238" i="8"/>
  <c r="D336" i="8"/>
  <c r="D55" i="9"/>
  <c r="D65" i="9"/>
  <c r="D55" i="10"/>
  <c r="D65" i="10"/>
  <c r="A43" i="12"/>
  <c r="B110" i="13"/>
  <c r="B206" i="13"/>
  <c r="B213" i="13"/>
  <c r="A35" i="17" s="1"/>
  <c r="F213" i="13"/>
  <c r="B218" i="13"/>
  <c r="D224" i="13"/>
  <c r="D225" i="13"/>
  <c r="B49" i="17" s="1"/>
  <c r="H225" i="13"/>
  <c r="B237" i="13"/>
  <c r="A63" i="17" s="1"/>
  <c r="F237" i="13"/>
  <c r="B242" i="13"/>
  <c r="B249" i="13"/>
  <c r="A73" i="17" s="1"/>
  <c r="F249" i="13"/>
  <c r="D260" i="13"/>
  <c r="D261" i="13"/>
  <c r="B87" i="17" s="1"/>
  <c r="H261" i="13"/>
  <c r="D272" i="13"/>
  <c r="D273" i="13"/>
  <c r="B119" i="17" s="1"/>
  <c r="H273" i="13"/>
  <c r="D284" i="13"/>
  <c r="D285" i="13"/>
  <c r="B129" i="17" s="1"/>
  <c r="H285" i="13"/>
  <c r="D296" i="13"/>
  <c r="D297" i="13"/>
  <c r="B139" i="17" s="1"/>
  <c r="H297" i="13"/>
  <c r="B309" i="13"/>
  <c r="A149" i="17" s="1"/>
  <c r="F309" i="13"/>
  <c r="B314" i="13"/>
  <c r="D320" i="13"/>
  <c r="D321" i="13"/>
  <c r="B159" i="17" s="1"/>
  <c r="H321" i="13"/>
  <c r="D118" i="10"/>
  <c r="B96" i="13"/>
  <c r="D124" i="13"/>
  <c r="B209" i="13"/>
  <c r="D227" i="13"/>
  <c r="B233" i="13"/>
  <c r="B245" i="13"/>
  <c r="D251" i="13"/>
  <c r="D263" i="13"/>
  <c r="D118" i="9"/>
  <c r="D36" i="13"/>
  <c r="B82" i="13"/>
  <c r="B4" i="13"/>
  <c r="B203" i="13"/>
  <c r="B215" i="13"/>
  <c r="D221" i="13"/>
  <c r="D230" i="13"/>
  <c r="H231" i="13"/>
  <c r="B239" i="13"/>
  <c r="D269" i="13"/>
  <c r="D275" i="13"/>
  <c r="D279" i="13"/>
  <c r="B124" i="17" s="1"/>
  <c r="D287" i="13"/>
  <c r="D291" i="13"/>
  <c r="B134" i="17" s="1"/>
  <c r="D299" i="13"/>
  <c r="D303" i="13"/>
  <c r="B144" i="17" s="1"/>
  <c r="B315" i="13"/>
  <c r="A154" i="17" s="1"/>
  <c r="D34" i="15"/>
  <c r="D111" i="15"/>
  <c r="D121" i="15"/>
  <c r="D202" i="15"/>
  <c r="D212" i="15"/>
  <c r="F207" i="13"/>
  <c r="B212" i="13"/>
  <c r="F219" i="13"/>
  <c r="B236" i="13"/>
  <c r="B243" i="13"/>
  <c r="A68" i="17" s="1"/>
  <c r="B248" i="13"/>
  <c r="D255" i="13"/>
  <c r="B82" i="17" s="1"/>
  <c r="D266" i="13"/>
  <c r="H267" i="13"/>
  <c r="B305" i="13"/>
  <c r="B308" i="13"/>
  <c r="B311" i="13"/>
  <c r="B207" i="13"/>
  <c r="A26" i="17" s="1"/>
  <c r="B219" i="13"/>
  <c r="A44" i="17" s="1"/>
  <c r="F243" i="13"/>
  <c r="D254" i="13"/>
  <c r="H255" i="13"/>
  <c r="D267" i="13"/>
  <c r="B92" i="17" s="1"/>
  <c r="D278" i="13"/>
  <c r="H279" i="13"/>
  <c r="D281" i="13"/>
  <c r="D290" i="13"/>
  <c r="H291" i="13"/>
  <c r="D293" i="13"/>
  <c r="D302" i="13"/>
  <c r="H303" i="13"/>
  <c r="F315" i="13"/>
  <c r="D317" i="13"/>
  <c r="B64" i="15"/>
  <c r="D188" i="15"/>
  <c r="D273" i="15"/>
  <c r="D278" i="15"/>
  <c r="D286" i="15"/>
  <c r="D4" i="12"/>
  <c r="B68" i="13"/>
  <c r="D231" i="13"/>
  <c r="B58" i="17" s="1"/>
  <c r="B207" i="15"/>
  <c r="D257" i="13"/>
  <c r="D169" i="15"/>
  <c r="D231" i="15"/>
  <c r="G75" i="8"/>
  <c r="D92" i="10"/>
  <c r="B169" i="8"/>
  <c r="C169" i="8"/>
  <c r="C167" i="8"/>
  <c r="B67" i="9"/>
  <c r="C67" i="9"/>
  <c r="A94" i="17"/>
  <c r="B176" i="5"/>
  <c r="C176" i="5"/>
  <c r="C174" i="5"/>
  <c r="B66" i="6"/>
  <c r="C66" i="6"/>
  <c r="G279" i="8"/>
  <c r="D92" i="9"/>
  <c r="K75" i="2"/>
  <c r="M107" i="2"/>
  <c r="M120" i="2"/>
  <c r="M129" i="2"/>
  <c r="K62" i="2"/>
  <c r="J85" i="2"/>
  <c r="K94" i="2"/>
  <c r="M160" i="2"/>
  <c r="J118" i="3"/>
  <c r="J68" i="3"/>
  <c r="J131" i="3"/>
  <c r="K53" i="2"/>
  <c r="J111" i="3"/>
  <c r="M175" i="2"/>
  <c r="H7" i="4"/>
  <c r="H29" i="4"/>
  <c r="H92" i="4"/>
  <c r="H141" i="4"/>
  <c r="J15" i="5"/>
  <c r="J41" i="5"/>
  <c r="J7" i="5"/>
  <c r="J116" i="5"/>
  <c r="J210" i="5"/>
  <c r="J152" i="5"/>
  <c r="J222" i="5"/>
  <c r="J132" i="5"/>
  <c r="J171" i="5"/>
  <c r="J58" i="5"/>
  <c r="J103" i="5"/>
  <c r="J7" i="6"/>
  <c r="J23" i="6"/>
  <c r="H87" i="6"/>
  <c r="J12" i="7"/>
  <c r="J40" i="7"/>
  <c r="J54" i="6"/>
  <c r="J7" i="7"/>
  <c r="J23" i="7"/>
  <c r="J244" i="5"/>
  <c r="J40" i="6"/>
  <c r="J7" i="8"/>
  <c r="J64" i="6"/>
  <c r="J80" i="6"/>
  <c r="J54" i="7"/>
  <c r="H87" i="7"/>
  <c r="J50" i="8"/>
  <c r="J15" i="8"/>
  <c r="J67" i="8"/>
  <c r="J112" i="8"/>
  <c r="J238" i="8"/>
  <c r="J142" i="8"/>
  <c r="J164" i="8"/>
  <c r="J336" i="8"/>
  <c r="J55" i="9"/>
  <c r="J65" i="9"/>
  <c r="J55" i="10"/>
  <c r="J65" i="10"/>
  <c r="J4" i="12"/>
  <c r="J12" i="6"/>
  <c r="J64" i="7"/>
  <c r="J118" i="9"/>
  <c r="J118" i="10"/>
  <c r="J80" i="7"/>
  <c r="J125" i="8"/>
  <c r="J205" i="8"/>
  <c r="J250" i="8"/>
  <c r="J39" i="9"/>
  <c r="J80" i="9"/>
  <c r="J39" i="10"/>
  <c r="J100" i="9"/>
  <c r="J21" i="10"/>
  <c r="J36" i="13"/>
  <c r="H82" i="13"/>
  <c r="H207" i="13"/>
  <c r="F26" i="17" s="1"/>
  <c r="H212" i="13"/>
  <c r="H219" i="13"/>
  <c r="F44" i="17" s="1"/>
  <c r="J230" i="13"/>
  <c r="J231" i="13"/>
  <c r="G58" i="17" s="1"/>
  <c r="H236" i="13"/>
  <c r="H243" i="13"/>
  <c r="F68" i="17" s="1"/>
  <c r="H248" i="13"/>
  <c r="J254" i="13"/>
  <c r="J255" i="13"/>
  <c r="G82" i="17" s="1"/>
  <c r="J266" i="13"/>
  <c r="J267" i="13"/>
  <c r="G92" i="17" s="1"/>
  <c r="J278" i="13"/>
  <c r="J279" i="13"/>
  <c r="G124" i="17" s="1"/>
  <c r="J290" i="13"/>
  <c r="J291" i="13"/>
  <c r="G134" i="17" s="1"/>
  <c r="J302" i="13"/>
  <c r="J303" i="13"/>
  <c r="G144" i="17" s="1"/>
  <c r="H308" i="13"/>
  <c r="H315" i="13"/>
  <c r="F154" i="17" s="1"/>
  <c r="J34" i="15"/>
  <c r="J7" i="9"/>
  <c r="J80" i="10"/>
  <c r="A49" i="12"/>
  <c r="H4" i="13"/>
  <c r="H68" i="13"/>
  <c r="H203" i="13"/>
  <c r="H215" i="13"/>
  <c r="J221" i="13"/>
  <c r="H239" i="13"/>
  <c r="J257" i="13"/>
  <c r="J269" i="13"/>
  <c r="J7" i="10"/>
  <c r="J100" i="10"/>
  <c r="H110" i="13"/>
  <c r="J291" i="8"/>
  <c r="J225" i="13"/>
  <c r="G49" i="17" s="1"/>
  <c r="H233" i="13"/>
  <c r="J251" i="13"/>
  <c r="G23" i="15"/>
  <c r="J169" i="15"/>
  <c r="H207" i="15"/>
  <c r="H96" i="13"/>
  <c r="H206" i="13"/>
  <c r="H209" i="13"/>
  <c r="H213" i="13"/>
  <c r="F35" i="17" s="1"/>
  <c r="H218" i="13"/>
  <c r="H237" i="13"/>
  <c r="F63" i="17" s="1"/>
  <c r="H249" i="13"/>
  <c r="F73" i="17" s="1"/>
  <c r="J260" i="13"/>
  <c r="J275" i="13"/>
  <c r="J287" i="13"/>
  <c r="J299" i="13"/>
  <c r="H309" i="13"/>
  <c r="F149" i="17" s="1"/>
  <c r="H311" i="13"/>
  <c r="H314" i="13"/>
  <c r="H64" i="15"/>
  <c r="J21" i="9"/>
  <c r="J227" i="13"/>
  <c r="H242" i="13"/>
  <c r="H245" i="13"/>
  <c r="J261" i="13"/>
  <c r="G87" i="17" s="1"/>
  <c r="J273" i="13"/>
  <c r="G119" i="17" s="1"/>
  <c r="J281" i="13"/>
  <c r="J285" i="13"/>
  <c r="G129" i="17" s="1"/>
  <c r="J293" i="13"/>
  <c r="J297" i="13"/>
  <c r="G139" i="17" s="1"/>
  <c r="J317" i="13"/>
  <c r="J321" i="13"/>
  <c r="G159" i="17" s="1"/>
  <c r="G83" i="15"/>
  <c r="G97" i="15"/>
  <c r="J231" i="15"/>
  <c r="J263" i="13"/>
  <c r="J284" i="13"/>
  <c r="H305" i="13"/>
  <c r="G53" i="15"/>
  <c r="J273" i="15"/>
  <c r="J278" i="15"/>
  <c r="J188" i="15"/>
  <c r="J121" i="15"/>
  <c r="J202" i="15"/>
  <c r="J124" i="13"/>
  <c r="J224" i="13"/>
  <c r="J272" i="13"/>
  <c r="J296" i="13"/>
  <c r="J320" i="13"/>
  <c r="J111" i="15"/>
  <c r="J212" i="15"/>
  <c r="J286" i="15"/>
  <c r="B76" i="15"/>
  <c r="B73" i="15"/>
  <c r="B280" i="8"/>
  <c r="C45" i="3"/>
  <c r="D106" i="15"/>
  <c r="E106" i="15" s="1"/>
  <c r="D109" i="15"/>
  <c r="J107" i="15"/>
  <c r="E105" i="15"/>
  <c r="C56" i="15" l="1"/>
  <c r="C30" i="15"/>
  <c r="C32" i="15"/>
  <c r="B264" i="8"/>
  <c r="C264" i="8"/>
  <c r="C195" i="15"/>
  <c r="B196" i="15"/>
  <c r="C196" i="15" s="1"/>
  <c r="D260" i="8"/>
  <c r="D261" i="8" s="1"/>
  <c r="D232" i="5"/>
  <c r="D233" i="5" s="1"/>
  <c r="D195" i="15"/>
  <c r="D196" i="15" s="1"/>
  <c r="AF24" i="18"/>
  <c r="H164" i="2"/>
  <c r="D24" i="9"/>
  <c r="J54" i="2"/>
  <c r="D25" i="15"/>
  <c r="D55" i="15" s="1"/>
  <c r="D26" i="15"/>
  <c r="D56" i="15" s="1"/>
  <c r="F15" i="18"/>
  <c r="I54" i="2"/>
  <c r="I132" i="2"/>
  <c r="E252" i="8"/>
  <c r="E224" i="5"/>
  <c r="P22" i="18"/>
  <c r="B257" i="8"/>
  <c r="C261" i="8"/>
  <c r="B261" i="8"/>
  <c r="C265" i="8" s="1"/>
  <c r="C277" i="8"/>
  <c r="E91" i="3"/>
  <c r="B92" i="3"/>
  <c r="E92" i="3" s="1"/>
  <c r="C91" i="9"/>
  <c r="M75" i="8"/>
  <c r="J163" i="2"/>
  <c r="F231" i="5"/>
  <c r="F259" i="8"/>
  <c r="R24" i="18"/>
  <c r="F194" i="15"/>
  <c r="K163" i="2"/>
  <c r="B98" i="3"/>
  <c r="E98" i="3" s="1"/>
  <c r="E94" i="3"/>
  <c r="E277" i="8"/>
  <c r="B91" i="10"/>
  <c r="B94" i="10" s="1"/>
  <c r="B236" i="5"/>
  <c r="B229" i="5"/>
  <c r="C229" i="5"/>
  <c r="C236" i="5"/>
  <c r="C192" i="15"/>
  <c r="C55" i="15"/>
  <c r="C31" i="15"/>
  <c r="C61" i="15" s="1"/>
  <c r="C191" i="15"/>
  <c r="B199" i="15"/>
  <c r="C199" i="15" s="1"/>
  <c r="B233" i="5"/>
  <c r="C233" i="5"/>
  <c r="B135" i="3"/>
  <c r="E109" i="15"/>
  <c r="G79" i="8"/>
  <c r="K53" i="8"/>
  <c r="B139" i="3"/>
  <c r="J79" i="2"/>
  <c r="E71" i="15"/>
  <c r="E72" i="15" s="1"/>
  <c r="AZ17" i="18"/>
  <c r="I79" i="2"/>
  <c r="D72" i="15"/>
  <c r="F71" i="15"/>
  <c r="E120" i="4"/>
  <c r="AZ15" i="18"/>
  <c r="J58" i="2"/>
  <c r="E95" i="3"/>
  <c r="C91" i="10"/>
  <c r="B99" i="3"/>
  <c r="E99" i="3" s="1"/>
  <c r="F277" i="8"/>
  <c r="B96" i="3"/>
  <c r="J57" i="2"/>
  <c r="E117" i="4"/>
  <c r="AJ15" i="18"/>
  <c r="D149" i="3"/>
  <c r="D180" i="15"/>
  <c r="E172" i="15"/>
  <c r="B187" i="4"/>
  <c r="D63" i="5"/>
  <c r="D67" i="5"/>
  <c r="D128" i="13"/>
  <c r="D132" i="13"/>
  <c r="D45" i="15"/>
  <c r="E37" i="15"/>
  <c r="E152" i="3"/>
  <c r="E312" i="8"/>
  <c r="E326" i="8"/>
  <c r="F175" i="15"/>
  <c r="E191" i="4"/>
  <c r="G76" i="5"/>
  <c r="G80" i="5"/>
  <c r="G31" i="7" s="1"/>
  <c r="G141" i="13"/>
  <c r="G145" i="13"/>
  <c r="I41" i="15"/>
  <c r="D148" i="3"/>
  <c r="D308" i="8"/>
  <c r="D322" i="8"/>
  <c r="D179" i="15"/>
  <c r="D173" i="15"/>
  <c r="E171" i="15"/>
  <c r="G53" i="8"/>
  <c r="C75" i="15"/>
  <c r="C68" i="15"/>
  <c r="J109" i="15"/>
  <c r="J106" i="15"/>
  <c r="D153" i="3"/>
  <c r="D313" i="8"/>
  <c r="D344" i="8"/>
  <c r="D327" i="8"/>
  <c r="I121" i="2"/>
  <c r="H122" i="2"/>
  <c r="E212" i="5"/>
  <c r="V21" i="18"/>
  <c r="E112" i="15"/>
  <c r="J161" i="2"/>
  <c r="F227" i="5"/>
  <c r="F255" i="8"/>
  <c r="F190" i="15"/>
  <c r="AT23" i="18"/>
  <c r="B66" i="5"/>
  <c r="B62" i="5"/>
  <c r="B127" i="13"/>
  <c r="B131" i="13"/>
  <c r="B38" i="15"/>
  <c r="B44" i="15"/>
  <c r="D36" i="15"/>
  <c r="C9" i="3"/>
  <c r="D32" i="3"/>
  <c r="D29" i="3"/>
  <c r="N108" i="2"/>
  <c r="J21" i="18"/>
  <c r="M76" i="2"/>
  <c r="N76" i="2" s="1"/>
  <c r="J17" i="18"/>
  <c r="I66" i="15"/>
  <c r="D125" i="15"/>
  <c r="F79" i="8"/>
  <c r="F24" i="9"/>
  <c r="F53" i="8"/>
  <c r="D236" i="5"/>
  <c r="D229" i="5"/>
  <c r="K161" i="2"/>
  <c r="E24" i="3"/>
  <c r="C43" i="3"/>
  <c r="B12" i="3"/>
  <c r="C46" i="3"/>
  <c r="E176" i="15"/>
  <c r="E177" i="15" s="1"/>
  <c r="B313" i="8"/>
  <c r="B344" i="8"/>
  <c r="B327" i="8"/>
  <c r="D76" i="5"/>
  <c r="D80" i="5"/>
  <c r="B191" i="4"/>
  <c r="D141" i="13"/>
  <c r="D145" i="13"/>
  <c r="E31" i="3"/>
  <c r="D37" i="3"/>
  <c r="D45" i="3" s="1"/>
  <c r="D81" i="6"/>
  <c r="D240" i="8"/>
  <c r="D81" i="9"/>
  <c r="D274" i="15"/>
  <c r="L28" i="9"/>
  <c r="E58" i="15"/>
  <c r="E28" i="15"/>
  <c r="D58" i="15"/>
  <c r="D38" i="3"/>
  <c r="D44" i="3"/>
  <c r="E235" i="5"/>
  <c r="B134" i="3"/>
  <c r="B138" i="3"/>
  <c r="G28" i="9"/>
  <c r="I162" i="2"/>
  <c r="E228" i="5"/>
  <c r="E256" i="8"/>
  <c r="E257" i="8" s="1"/>
  <c r="E191" i="15"/>
  <c r="BJ23" i="18"/>
  <c r="J28" i="9"/>
  <c r="C139" i="3"/>
  <c r="D139" i="3"/>
  <c r="D252" i="5"/>
  <c r="B75" i="13"/>
  <c r="A55" i="17"/>
  <c r="K55" i="2"/>
  <c r="F29" i="15"/>
  <c r="V15" i="18"/>
  <c r="F28" i="15"/>
  <c r="M78" i="2"/>
  <c r="N78" i="2" s="1"/>
  <c r="I70" i="15"/>
  <c r="AP17" i="18"/>
  <c r="E198" i="15"/>
  <c r="B326" i="8"/>
  <c r="B343" i="8"/>
  <c r="B177" i="15"/>
  <c r="B312" i="8"/>
  <c r="B75" i="5"/>
  <c r="B79" i="5"/>
  <c r="B42" i="15"/>
  <c r="B140" i="13"/>
  <c r="B144" i="13"/>
  <c r="E190" i="4"/>
  <c r="G79" i="5"/>
  <c r="G75" i="5"/>
  <c r="G140" i="13"/>
  <c r="G144" i="13"/>
  <c r="G146" i="13" s="1"/>
  <c r="G42" i="15"/>
  <c r="D152" i="3"/>
  <c r="D312" i="8"/>
  <c r="D343" i="8"/>
  <c r="D326" i="8"/>
  <c r="D177" i="15"/>
  <c r="B218" i="15"/>
  <c r="F218" i="15"/>
  <c r="J218" i="15"/>
  <c r="E237" i="15"/>
  <c r="I237" i="15"/>
  <c r="E218" i="15"/>
  <c r="I218" i="15"/>
  <c r="D237" i="15"/>
  <c r="L237" i="15"/>
  <c r="G218" i="15"/>
  <c r="K237" i="15"/>
  <c r="J237" i="15"/>
  <c r="AZ13" i="18"/>
  <c r="F237" i="15"/>
  <c r="L218" i="15"/>
  <c r="B237" i="15"/>
  <c r="K218" i="15"/>
  <c r="G237" i="15"/>
  <c r="D218" i="15"/>
  <c r="A96" i="17"/>
  <c r="H75" i="8"/>
  <c r="D28" i="9"/>
  <c r="D32" i="9" s="1"/>
  <c r="H74" i="15"/>
  <c r="C114" i="15"/>
  <c r="B114" i="15"/>
  <c r="D79" i="8"/>
  <c r="C191" i="4"/>
  <c r="E76" i="5"/>
  <c r="E80" i="5"/>
  <c r="E31" i="7" s="1"/>
  <c r="E141" i="13"/>
  <c r="E145" i="13"/>
  <c r="B76" i="5"/>
  <c r="B80" i="5"/>
  <c r="B141" i="13"/>
  <c r="B145" i="13"/>
  <c r="C145" i="13" s="1"/>
  <c r="E219" i="15"/>
  <c r="I219" i="15"/>
  <c r="D238" i="15"/>
  <c r="L238" i="15"/>
  <c r="D219" i="15"/>
  <c r="L219" i="15"/>
  <c r="G238" i="15"/>
  <c r="K238" i="15"/>
  <c r="G219" i="15"/>
  <c r="F238" i="15"/>
  <c r="F219" i="15"/>
  <c r="D14" i="18"/>
  <c r="B219" i="15"/>
  <c r="C219" i="15" s="1"/>
  <c r="J219" i="15"/>
  <c r="I238" i="15"/>
  <c r="E238" i="15"/>
  <c r="K219" i="15"/>
  <c r="B238" i="15"/>
  <c r="C238" i="15" s="1"/>
  <c r="J238" i="15"/>
  <c r="I178" i="2"/>
  <c r="J176" i="2"/>
  <c r="F123" i="15"/>
  <c r="BJ24" i="18"/>
  <c r="D213" i="5"/>
  <c r="D113" i="15"/>
  <c r="D114" i="15" s="1"/>
  <c r="AL21" i="18"/>
  <c r="B143" i="3"/>
  <c r="C143" i="3"/>
  <c r="C135" i="3"/>
  <c r="D248" i="5"/>
  <c r="B71" i="13"/>
  <c r="A52" i="17"/>
  <c r="J53" i="8"/>
  <c r="J79" i="8"/>
  <c r="J24" i="9"/>
  <c r="B322" i="8"/>
  <c r="B339" i="8"/>
  <c r="B308" i="8"/>
  <c r="B173" i="15"/>
  <c r="B179" i="15"/>
  <c r="F75" i="5"/>
  <c r="D190" i="4"/>
  <c r="F79" i="5"/>
  <c r="F42" i="15"/>
  <c r="F144" i="13"/>
  <c r="F140" i="13"/>
  <c r="I40" i="15"/>
  <c r="K28" i="9"/>
  <c r="B81" i="7"/>
  <c r="B241" i="8"/>
  <c r="B81" i="10"/>
  <c r="B275" i="15"/>
  <c r="C275" i="15" s="1"/>
  <c r="H179" i="2"/>
  <c r="I177" i="2"/>
  <c r="E124" i="15"/>
  <c r="E125" i="15" s="1"/>
  <c r="N25" i="18"/>
  <c r="D199" i="15"/>
  <c r="D192" i="15"/>
  <c r="D191" i="4"/>
  <c r="F80" i="5"/>
  <c r="F31" i="7" s="1"/>
  <c r="F76" i="5"/>
  <c r="F141" i="13"/>
  <c r="F145" i="13"/>
  <c r="L53" i="8"/>
  <c r="L79" i="8"/>
  <c r="L24" i="9"/>
  <c r="K79" i="8"/>
  <c r="B63" i="5"/>
  <c r="B67" i="5"/>
  <c r="B132" i="13"/>
  <c r="B45" i="15"/>
  <c r="B128" i="13"/>
  <c r="I53" i="8"/>
  <c r="M71" i="8"/>
  <c r="I79" i="8"/>
  <c r="I24" i="9"/>
  <c r="D72" i="3"/>
  <c r="B72" i="3"/>
  <c r="D71" i="3"/>
  <c r="B71" i="3"/>
  <c r="B214" i="15"/>
  <c r="F214" i="15"/>
  <c r="J214" i="15"/>
  <c r="E233" i="15"/>
  <c r="I233" i="15"/>
  <c r="E214" i="15"/>
  <c r="I214" i="15"/>
  <c r="D233" i="15"/>
  <c r="L233" i="15"/>
  <c r="K214" i="15"/>
  <c r="G233" i="15"/>
  <c r="D214" i="15"/>
  <c r="L214" i="15"/>
  <c r="B233" i="15"/>
  <c r="J233" i="15"/>
  <c r="G214" i="15"/>
  <c r="K233" i="15"/>
  <c r="F233" i="15"/>
  <c r="T13" i="18"/>
  <c r="D75" i="3"/>
  <c r="B75" i="3"/>
  <c r="D76" i="3"/>
  <c r="B76" i="3"/>
  <c r="E53" i="8"/>
  <c r="E79" i="8"/>
  <c r="E24" i="9"/>
  <c r="K279" i="8"/>
  <c r="H279" i="8"/>
  <c r="D128" i="15"/>
  <c r="D129" i="15" s="1"/>
  <c r="AV25" i="18"/>
  <c r="D131" i="15"/>
  <c r="D264" i="8"/>
  <c r="D257" i="8"/>
  <c r="B131" i="15"/>
  <c r="B203" i="15" s="1"/>
  <c r="C129" i="15"/>
  <c r="C131" i="15"/>
  <c r="B129" i="15"/>
  <c r="H71" i="8"/>
  <c r="H77" i="2"/>
  <c r="D67" i="15"/>
  <c r="R17" i="18"/>
  <c r="J130" i="2"/>
  <c r="F223" i="5"/>
  <c r="F251" i="8"/>
  <c r="BL21" i="18"/>
  <c r="K130" i="2"/>
  <c r="E127" i="15"/>
  <c r="E131" i="15" s="1"/>
  <c r="E203" i="15" s="1"/>
  <c r="AF25" i="18"/>
  <c r="D59" i="15"/>
  <c r="E59" i="15"/>
  <c r="E29" i="15"/>
  <c r="D32" i="15"/>
  <c r="D30" i="15"/>
  <c r="H61" i="3"/>
  <c r="H54" i="3"/>
  <c r="B309" i="8"/>
  <c r="B340" i="8"/>
  <c r="B323" i="8"/>
  <c r="B180" i="15"/>
  <c r="E215" i="15"/>
  <c r="E223" i="15" s="1"/>
  <c r="I215" i="15"/>
  <c r="D234" i="15"/>
  <c r="L234" i="15"/>
  <c r="D215" i="15"/>
  <c r="L215" i="15"/>
  <c r="L223" i="15" s="1"/>
  <c r="G234" i="15"/>
  <c r="G242" i="15" s="1"/>
  <c r="K234" i="15"/>
  <c r="K215" i="15"/>
  <c r="K223" i="15" s="1"/>
  <c r="B234" i="15"/>
  <c r="J234" i="15"/>
  <c r="J242" i="15" s="1"/>
  <c r="F215" i="15"/>
  <c r="F223" i="15" s="1"/>
  <c r="E234" i="15"/>
  <c r="B215" i="15"/>
  <c r="I234" i="15"/>
  <c r="AJ13" i="18"/>
  <c r="G215" i="15"/>
  <c r="G223" i="15" s="1"/>
  <c r="F234" i="15"/>
  <c r="F242" i="15" s="1"/>
  <c r="J215" i="15"/>
  <c r="J223" i="15" s="1"/>
  <c r="E263" i="8"/>
  <c r="C53" i="8"/>
  <c r="C71" i="8"/>
  <c r="C79" i="8"/>
  <c r="B53" i="8"/>
  <c r="B79" i="8"/>
  <c r="B24" i="9"/>
  <c r="C24" i="9"/>
  <c r="K278" i="8"/>
  <c r="H278" i="8"/>
  <c r="C190" i="4"/>
  <c r="E79" i="5"/>
  <c r="E75" i="5"/>
  <c r="E140" i="13"/>
  <c r="E144" i="13"/>
  <c r="E42" i="15"/>
  <c r="B190" i="4"/>
  <c r="D79" i="5"/>
  <c r="D75" i="5"/>
  <c r="D140" i="13"/>
  <c r="D144" i="13"/>
  <c r="D42" i="15"/>
  <c r="B237" i="5" l="1"/>
  <c r="C234" i="5"/>
  <c r="C237" i="5"/>
  <c r="B234" i="5"/>
  <c r="L76" i="8"/>
  <c r="B72" i="8"/>
  <c r="F76" i="8"/>
  <c r="J76" i="8"/>
  <c r="K72" i="8"/>
  <c r="G76" i="8"/>
  <c r="D277" i="8"/>
  <c r="D280" i="8" s="1"/>
  <c r="C280" i="8"/>
  <c r="E72" i="8"/>
  <c r="G72" i="8"/>
  <c r="F72" i="8"/>
  <c r="K76" i="8"/>
  <c r="I76" i="8"/>
  <c r="D76" i="8"/>
  <c r="E76" i="8"/>
  <c r="J72" i="8"/>
  <c r="L72" i="8"/>
  <c r="D72" i="8"/>
  <c r="I72" i="8"/>
  <c r="B76" i="8"/>
  <c r="C62" i="15"/>
  <c r="C60" i="15"/>
  <c r="K242" i="15"/>
  <c r="L242" i="15"/>
  <c r="C94" i="9"/>
  <c r="D91" i="9"/>
  <c r="D94" i="9" s="1"/>
  <c r="F26" i="15"/>
  <c r="F56" i="15" s="1"/>
  <c r="F25" i="15"/>
  <c r="F55" i="15" s="1"/>
  <c r="H15" i="18"/>
  <c r="K54" i="2"/>
  <c r="E26" i="15"/>
  <c r="E146" i="13"/>
  <c r="D31" i="15"/>
  <c r="E61" i="15" s="1"/>
  <c r="E55" i="15"/>
  <c r="E56" i="15"/>
  <c r="B197" i="15"/>
  <c r="E25" i="15"/>
  <c r="B200" i="15"/>
  <c r="E280" i="8"/>
  <c r="G88" i="8"/>
  <c r="I84" i="8"/>
  <c r="F84" i="8"/>
  <c r="E88" i="8"/>
  <c r="F88" i="8"/>
  <c r="G84" i="8"/>
  <c r="B88" i="8"/>
  <c r="L88" i="8"/>
  <c r="D84" i="8"/>
  <c r="K88" i="8"/>
  <c r="D88" i="8"/>
  <c r="I88" i="8"/>
  <c r="L84" i="8"/>
  <c r="E84" i="8"/>
  <c r="B84" i="8"/>
  <c r="I277" i="8"/>
  <c r="I280" i="8" s="1"/>
  <c r="K84" i="8"/>
  <c r="J84" i="8"/>
  <c r="J88" i="8"/>
  <c r="L163" i="2"/>
  <c r="G231" i="5"/>
  <c r="H231" i="5" s="1"/>
  <c r="G259" i="8"/>
  <c r="H259" i="8" s="1"/>
  <c r="T24" i="18"/>
  <c r="G194" i="15"/>
  <c r="H194" i="15" s="1"/>
  <c r="B262" i="8"/>
  <c r="C262" i="8"/>
  <c r="B265" i="8"/>
  <c r="J132" i="2"/>
  <c r="F224" i="5"/>
  <c r="F252" i="8"/>
  <c r="R22" i="18"/>
  <c r="I164" i="2"/>
  <c r="AH24" i="18"/>
  <c r="E232" i="5"/>
  <c r="E233" i="5" s="1"/>
  <c r="E260" i="8"/>
  <c r="E261" i="8" s="1"/>
  <c r="E265" i="8" s="1"/>
  <c r="E195" i="15"/>
  <c r="E196" i="15" s="1"/>
  <c r="K57" i="2"/>
  <c r="G117" i="4"/>
  <c r="AL15" i="18"/>
  <c r="F280" i="8"/>
  <c r="G89" i="8"/>
  <c r="J85" i="8"/>
  <c r="K85" i="8"/>
  <c r="E85" i="8"/>
  <c r="G85" i="8"/>
  <c r="F85" i="8"/>
  <c r="D85" i="8"/>
  <c r="E89" i="8"/>
  <c r="D89" i="8"/>
  <c r="G277" i="8"/>
  <c r="I89" i="8"/>
  <c r="B89" i="8"/>
  <c r="B85" i="8"/>
  <c r="F89" i="8"/>
  <c r="K89" i="8"/>
  <c r="L89" i="8"/>
  <c r="J277" i="8"/>
  <c r="J280" i="8" s="1"/>
  <c r="J89" i="8"/>
  <c r="L85" i="8"/>
  <c r="I85" i="8"/>
  <c r="D91" i="10"/>
  <c r="D94" i="10" s="1"/>
  <c r="C94" i="10"/>
  <c r="K58" i="2"/>
  <c r="BB15" i="18"/>
  <c r="G120" i="4"/>
  <c r="F72" i="15"/>
  <c r="G71" i="15"/>
  <c r="G72" i="15" s="1"/>
  <c r="BB17" i="18"/>
  <c r="K79" i="2"/>
  <c r="F146" i="13"/>
  <c r="K220" i="15"/>
  <c r="K27" i="5" s="1"/>
  <c r="E229" i="5"/>
  <c r="E234" i="5" s="1"/>
  <c r="E96" i="3"/>
  <c r="B97" i="3"/>
  <c r="B100" i="3"/>
  <c r="H62" i="3"/>
  <c r="H59" i="3"/>
  <c r="E32" i="9"/>
  <c r="G216" i="15"/>
  <c r="G222" i="15"/>
  <c r="E241" i="15"/>
  <c r="E235" i="15"/>
  <c r="C128" i="13"/>
  <c r="C136" i="13"/>
  <c r="B154" i="13"/>
  <c r="C154" i="13"/>
  <c r="B136" i="13"/>
  <c r="H79" i="8"/>
  <c r="L239" i="15"/>
  <c r="L30" i="8" s="1"/>
  <c r="C144" i="13"/>
  <c r="B146" i="13"/>
  <c r="C146" i="13"/>
  <c r="E237" i="5"/>
  <c r="D157" i="3"/>
  <c r="B173" i="4"/>
  <c r="D262" i="5"/>
  <c r="B94" i="6"/>
  <c r="E64" i="2"/>
  <c r="E104" i="2"/>
  <c r="E103" i="2"/>
  <c r="H79" i="5"/>
  <c r="D81" i="5"/>
  <c r="D30" i="7"/>
  <c r="E142" i="13"/>
  <c r="E148" i="13"/>
  <c r="M234" i="15"/>
  <c r="I242" i="15"/>
  <c r="M242" i="15" s="1"/>
  <c r="H234" i="15"/>
  <c r="D242" i="15"/>
  <c r="B331" i="8"/>
  <c r="C323" i="8"/>
  <c r="C331" i="8"/>
  <c r="B113" i="9"/>
  <c r="C113" i="9"/>
  <c r="D75" i="15"/>
  <c r="D68" i="15"/>
  <c r="B130" i="15"/>
  <c r="B133" i="15"/>
  <c r="C133" i="15"/>
  <c r="C130" i="15"/>
  <c r="D262" i="8"/>
  <c r="D265" i="8"/>
  <c r="D203" i="15"/>
  <c r="C76" i="3"/>
  <c r="C140" i="5"/>
  <c r="B140" i="5"/>
  <c r="C280" i="5"/>
  <c r="C47" i="7"/>
  <c r="B47" i="7"/>
  <c r="B280" i="5"/>
  <c r="B150" i="8"/>
  <c r="B47" i="10"/>
  <c r="C47" i="10"/>
  <c r="C150" i="8"/>
  <c r="B103" i="13"/>
  <c r="B89" i="13"/>
  <c r="C75" i="3"/>
  <c r="B77" i="3"/>
  <c r="C77" i="3"/>
  <c r="B139" i="5"/>
  <c r="C139" i="5"/>
  <c r="B279" i="5"/>
  <c r="B46" i="7"/>
  <c r="C279" i="5"/>
  <c r="B149" i="8"/>
  <c r="C149" i="8"/>
  <c r="C46" i="7"/>
  <c r="B46" i="10"/>
  <c r="C46" i="10"/>
  <c r="B88" i="13"/>
  <c r="B102" i="13"/>
  <c r="J235" i="15"/>
  <c r="J241" i="15"/>
  <c r="G235" i="15"/>
  <c r="G241" i="15"/>
  <c r="M214" i="15"/>
  <c r="I222" i="15"/>
  <c r="I216" i="15"/>
  <c r="J222" i="15"/>
  <c r="J216" i="15"/>
  <c r="B79" i="3"/>
  <c r="C71" i="3"/>
  <c r="C79" i="3"/>
  <c r="B73" i="3"/>
  <c r="C73" i="3"/>
  <c r="B135" i="5"/>
  <c r="C135" i="5"/>
  <c r="B46" i="6"/>
  <c r="B275" i="5"/>
  <c r="C46" i="6"/>
  <c r="C275" i="5"/>
  <c r="B145" i="8"/>
  <c r="C145" i="8"/>
  <c r="B46" i="9"/>
  <c r="C46" i="9"/>
  <c r="B98" i="13"/>
  <c r="B84" i="13"/>
  <c r="E128" i="15"/>
  <c r="AX25" i="18"/>
  <c r="C339" i="8"/>
  <c r="C347" i="8"/>
  <c r="C120" i="9"/>
  <c r="B341" i="8"/>
  <c r="C341" i="8"/>
  <c r="B347" i="8"/>
  <c r="B120" i="9"/>
  <c r="J32" i="9"/>
  <c r="H248" i="5"/>
  <c r="H256" i="5"/>
  <c r="B90" i="6"/>
  <c r="F90" i="6"/>
  <c r="D256" i="5"/>
  <c r="M238" i="15"/>
  <c r="H238" i="15"/>
  <c r="B149" i="13"/>
  <c r="C141" i="13"/>
  <c r="C149" i="13"/>
  <c r="E149" i="13"/>
  <c r="C239" i="15"/>
  <c r="B239" i="15"/>
  <c r="B30" i="8" s="1"/>
  <c r="C237" i="15"/>
  <c r="J239" i="15"/>
  <c r="J30" i="8" s="1"/>
  <c r="H237" i="15"/>
  <c r="D239" i="15"/>
  <c r="E239" i="15"/>
  <c r="E30" i="8" s="1"/>
  <c r="D154" i="3"/>
  <c r="B176" i="4"/>
  <c r="D265" i="5"/>
  <c r="B93" i="7"/>
  <c r="G48" i="5"/>
  <c r="G77" i="5"/>
  <c r="G83" i="5"/>
  <c r="G26" i="7"/>
  <c r="C140" i="13"/>
  <c r="C148" i="13"/>
  <c r="B142" i="13"/>
  <c r="C142" i="13"/>
  <c r="B148" i="13"/>
  <c r="C312" i="8"/>
  <c r="B314" i="8"/>
  <c r="B32" i="8" s="1"/>
  <c r="B107" i="10"/>
  <c r="B298" i="8"/>
  <c r="C314" i="8"/>
  <c r="C107" i="10"/>
  <c r="F32" i="15"/>
  <c r="F59" i="15"/>
  <c r="F30" i="15"/>
  <c r="H252" i="5"/>
  <c r="B90" i="7"/>
  <c r="F90" i="7"/>
  <c r="B142" i="3"/>
  <c r="C134" i="3"/>
  <c r="C142" i="3"/>
  <c r="B136" i="3"/>
  <c r="C136" i="3"/>
  <c r="D247" i="5"/>
  <c r="B70" i="13"/>
  <c r="A51" i="17"/>
  <c r="H80" i="5"/>
  <c r="D31" i="7"/>
  <c r="H31" i="7" s="1"/>
  <c r="C313" i="8"/>
  <c r="B299" i="8"/>
  <c r="C108" i="10"/>
  <c r="B108" i="10"/>
  <c r="D132" i="15"/>
  <c r="B133" i="13"/>
  <c r="B157" i="13"/>
  <c r="C133" i="13"/>
  <c r="C157" i="13"/>
  <c r="C131" i="13"/>
  <c r="L161" i="2"/>
  <c r="G227" i="5"/>
  <c r="G255" i="8"/>
  <c r="G190" i="15"/>
  <c r="AV23" i="18"/>
  <c r="J121" i="2"/>
  <c r="I122" i="2"/>
  <c r="F212" i="5"/>
  <c r="F112" i="15"/>
  <c r="X21" i="18"/>
  <c r="D121" i="10"/>
  <c r="C76" i="15"/>
  <c r="C73" i="15"/>
  <c r="G32" i="9"/>
  <c r="E148" i="3"/>
  <c r="E308" i="8"/>
  <c r="E339" i="8"/>
  <c r="E322" i="8"/>
  <c r="E173" i="15"/>
  <c r="E179" i="15"/>
  <c r="F171" i="15"/>
  <c r="G191" i="4"/>
  <c r="I76" i="5"/>
  <c r="I80" i="5"/>
  <c r="I145" i="13"/>
  <c r="I141" i="13"/>
  <c r="J41" i="15"/>
  <c r="G49" i="5"/>
  <c r="G84" i="5"/>
  <c r="G27" i="7"/>
  <c r="G35" i="7" s="1"/>
  <c r="C176" i="4"/>
  <c r="E265" i="5"/>
  <c r="C93" i="7"/>
  <c r="D136" i="13"/>
  <c r="D154" i="13"/>
  <c r="D323" i="8"/>
  <c r="D324" i="8" s="1"/>
  <c r="D48" i="5"/>
  <c r="H75" i="5"/>
  <c r="D83" i="5"/>
  <c r="D77" i="5"/>
  <c r="D26" i="7"/>
  <c r="C57" i="4"/>
  <c r="C192" i="4"/>
  <c r="H233" i="15"/>
  <c r="D241" i="15"/>
  <c r="D235" i="15"/>
  <c r="D80" i="3"/>
  <c r="D136" i="5"/>
  <c r="D47" i="6"/>
  <c r="D276" i="5"/>
  <c r="D146" i="8"/>
  <c r="C99" i="13"/>
  <c r="C85" i="13"/>
  <c r="D47" i="9"/>
  <c r="B45" i="5"/>
  <c r="B71" i="5"/>
  <c r="C45" i="5"/>
  <c r="B89" i="5"/>
  <c r="C89" i="5"/>
  <c r="C71" i="5"/>
  <c r="C63" i="5"/>
  <c r="B27" i="6"/>
  <c r="C27" i="6"/>
  <c r="F49" i="5"/>
  <c r="F84" i="5"/>
  <c r="F27" i="7"/>
  <c r="F35" i="7" s="1"/>
  <c r="J177" i="2"/>
  <c r="I179" i="2"/>
  <c r="P25" i="18"/>
  <c r="F124" i="15"/>
  <c r="F77" i="5"/>
  <c r="F83" i="5"/>
  <c r="F48" i="5"/>
  <c r="F26" i="7"/>
  <c r="B79" i="13"/>
  <c r="K16" i="7"/>
  <c r="M237" i="15"/>
  <c r="I239" i="15"/>
  <c r="G148" i="13"/>
  <c r="G142" i="13"/>
  <c r="C326" i="8"/>
  <c r="B112" i="10"/>
  <c r="B328" i="8"/>
  <c r="B33" i="8" s="1"/>
  <c r="C328" i="8"/>
  <c r="C112" i="10"/>
  <c r="M28" i="9"/>
  <c r="C12" i="3"/>
  <c r="D43" i="3"/>
  <c r="D46" i="3"/>
  <c r="B121" i="10"/>
  <c r="C344" i="8"/>
  <c r="C121" i="10"/>
  <c r="D234" i="5"/>
  <c r="D237" i="5"/>
  <c r="D133" i="15"/>
  <c r="D130" i="15"/>
  <c r="C66" i="5"/>
  <c r="B68" i="5"/>
  <c r="C92" i="5"/>
  <c r="C68" i="5"/>
  <c r="B92" i="5"/>
  <c r="C30" i="6"/>
  <c r="B30" i="6"/>
  <c r="F235" i="5"/>
  <c r="E213" i="5"/>
  <c r="E113" i="15"/>
  <c r="E114" i="15" s="1"/>
  <c r="AN21" i="18"/>
  <c r="D330" i="8"/>
  <c r="B112" i="13"/>
  <c r="D112" i="9"/>
  <c r="E107" i="10"/>
  <c r="D158" i="13"/>
  <c r="H144" i="13"/>
  <c r="D146" i="13"/>
  <c r="F190" i="4"/>
  <c r="B57" i="4"/>
  <c r="B192" i="4"/>
  <c r="C234" i="15"/>
  <c r="C242" i="15"/>
  <c r="B242" i="15"/>
  <c r="M215" i="15"/>
  <c r="I223" i="15"/>
  <c r="M223" i="15" s="1"/>
  <c r="B348" i="8"/>
  <c r="B121" i="9"/>
  <c r="C340" i="8"/>
  <c r="C348" i="8"/>
  <c r="C121" i="9"/>
  <c r="D60" i="15"/>
  <c r="D62" i="15"/>
  <c r="E32" i="15"/>
  <c r="E60" i="15"/>
  <c r="E62" i="15"/>
  <c r="E30" i="15"/>
  <c r="D214" i="5"/>
  <c r="D276" i="15" s="1"/>
  <c r="D242" i="8"/>
  <c r="E129" i="15"/>
  <c r="E133" i="15" s="1"/>
  <c r="D140" i="5"/>
  <c r="D280" i="5"/>
  <c r="D47" i="7"/>
  <c r="D150" i="8"/>
  <c r="D47" i="10"/>
  <c r="C89" i="13"/>
  <c r="C103" i="13"/>
  <c r="D77" i="3"/>
  <c r="D139" i="5"/>
  <c r="D279" i="5"/>
  <c r="D281" i="5" s="1"/>
  <c r="D46" i="7"/>
  <c r="D48" i="7" s="1"/>
  <c r="D46" i="10"/>
  <c r="C102" i="13"/>
  <c r="C88" i="13"/>
  <c r="C90" i="13" s="1"/>
  <c r="D149" i="8"/>
  <c r="F235" i="15"/>
  <c r="F241" i="15"/>
  <c r="C235" i="15"/>
  <c r="B235" i="15"/>
  <c r="C241" i="15"/>
  <c r="B241" i="15"/>
  <c r="C233" i="15"/>
  <c r="K216" i="15"/>
  <c r="K222" i="15"/>
  <c r="E222" i="15"/>
  <c r="E216" i="15"/>
  <c r="F222" i="15"/>
  <c r="F216" i="15"/>
  <c r="M24" i="9"/>
  <c r="I32" i="9"/>
  <c r="M53" i="8"/>
  <c r="C132" i="13"/>
  <c r="B158" i="13"/>
  <c r="C158" i="13"/>
  <c r="L32" i="9"/>
  <c r="G190" i="4"/>
  <c r="I75" i="5"/>
  <c r="I79" i="5"/>
  <c r="I140" i="13"/>
  <c r="I144" i="13"/>
  <c r="I42" i="15"/>
  <c r="J40" i="15"/>
  <c r="F81" i="5"/>
  <c r="F30" i="7"/>
  <c r="F32" i="7" s="1"/>
  <c r="B181" i="15"/>
  <c r="B178" i="15"/>
  <c r="B330" i="8"/>
  <c r="C322" i="8"/>
  <c r="C330" i="8"/>
  <c r="B112" i="9"/>
  <c r="B324" i="8"/>
  <c r="C112" i="9"/>
  <c r="C324" i="8"/>
  <c r="K32" i="9"/>
  <c r="L176" i="2"/>
  <c r="J178" i="2"/>
  <c r="K178" i="2" s="1"/>
  <c r="BL24" i="18"/>
  <c r="G123" i="15"/>
  <c r="K176" i="2"/>
  <c r="M219" i="15"/>
  <c r="C80" i="5"/>
  <c r="B31" i="7"/>
  <c r="C31" i="7"/>
  <c r="B214" i="5"/>
  <c r="B276" i="15" s="1"/>
  <c r="C214" i="5"/>
  <c r="B242" i="8"/>
  <c r="C242" i="8"/>
  <c r="D220" i="15"/>
  <c r="H218" i="15"/>
  <c r="L220" i="15"/>
  <c r="L27" i="5" s="1"/>
  <c r="K239" i="15"/>
  <c r="K30" i="8" s="1"/>
  <c r="M218" i="15"/>
  <c r="I220" i="15"/>
  <c r="J220" i="15"/>
  <c r="J27" i="5" s="1"/>
  <c r="D328" i="8"/>
  <c r="B116" i="13"/>
  <c r="D112" i="10"/>
  <c r="G81" i="5"/>
  <c r="G30" i="7"/>
  <c r="G32" i="7" s="1"/>
  <c r="E192" i="15"/>
  <c r="J70" i="15"/>
  <c r="AR17" i="18"/>
  <c r="L55" i="2"/>
  <c r="G28" i="15"/>
  <c r="G29" i="15"/>
  <c r="X15" i="18"/>
  <c r="E252" i="5"/>
  <c r="C90" i="7" s="1"/>
  <c r="C75" i="13"/>
  <c r="B55" i="17"/>
  <c r="C138" i="3"/>
  <c r="C140" i="3"/>
  <c r="D138" i="3"/>
  <c r="B140" i="3"/>
  <c r="D251" i="5"/>
  <c r="B74" i="13"/>
  <c r="A54" i="17"/>
  <c r="H227" i="5"/>
  <c r="H145" i="13"/>
  <c r="D49" i="5"/>
  <c r="H76" i="5"/>
  <c r="D84" i="5"/>
  <c r="D27" i="7"/>
  <c r="E153" i="3"/>
  <c r="E327" i="8"/>
  <c r="E313" i="8"/>
  <c r="E108" i="10" s="1"/>
  <c r="F176" i="15"/>
  <c r="H24" i="9"/>
  <c r="B129" i="13"/>
  <c r="B153" i="13"/>
  <c r="C129" i="13"/>
  <c r="C153" i="13"/>
  <c r="B135" i="13"/>
  <c r="C135" i="13"/>
  <c r="C127" i="13"/>
  <c r="F198" i="15"/>
  <c r="D108" i="10"/>
  <c r="D316" i="8"/>
  <c r="D107" i="9"/>
  <c r="E112" i="10"/>
  <c r="C116" i="13"/>
  <c r="C187" i="4"/>
  <c r="C195" i="4" s="1"/>
  <c r="E67" i="5"/>
  <c r="E63" i="5"/>
  <c r="E128" i="13"/>
  <c r="E132" i="13"/>
  <c r="E158" i="13" s="1"/>
  <c r="E45" i="15"/>
  <c r="F37" i="15"/>
  <c r="D93" i="5"/>
  <c r="D31" i="6"/>
  <c r="H53" i="8"/>
  <c r="B32" i="9"/>
  <c r="C32" i="9"/>
  <c r="C203" i="15"/>
  <c r="B205" i="15"/>
  <c r="C205" i="15" s="1"/>
  <c r="D216" i="15"/>
  <c r="D222" i="15"/>
  <c r="H214" i="15"/>
  <c r="M79" i="8"/>
  <c r="C308" i="8"/>
  <c r="C316" i="8"/>
  <c r="B310" i="8"/>
  <c r="B107" i="9"/>
  <c r="B294" i="8"/>
  <c r="C310" i="8"/>
  <c r="C107" i="9"/>
  <c r="B316" i="8"/>
  <c r="C220" i="15"/>
  <c r="B220" i="15"/>
  <c r="B27" i="5" s="1"/>
  <c r="C218" i="15"/>
  <c r="D107" i="10"/>
  <c r="D314" i="8"/>
  <c r="C48" i="5"/>
  <c r="C75" i="5"/>
  <c r="B77" i="5"/>
  <c r="B48" i="5"/>
  <c r="C77" i="5"/>
  <c r="B83" i="5"/>
  <c r="C83" i="5"/>
  <c r="B26" i="7"/>
  <c r="C26" i="7"/>
  <c r="E31" i="15"/>
  <c r="F191" i="4"/>
  <c r="F32" i="9"/>
  <c r="I74" i="15"/>
  <c r="D113" i="10"/>
  <c r="B117" i="13"/>
  <c r="F152" i="3"/>
  <c r="F326" i="8"/>
  <c r="F312" i="8"/>
  <c r="G175" i="15"/>
  <c r="B195" i="4"/>
  <c r="E83" i="5"/>
  <c r="E48" i="5"/>
  <c r="E77" i="5"/>
  <c r="E26" i="7"/>
  <c r="C215" i="15"/>
  <c r="B223" i="15"/>
  <c r="C223" i="15"/>
  <c r="H140" i="13"/>
  <c r="D148" i="13"/>
  <c r="D142" i="13"/>
  <c r="F64" i="2"/>
  <c r="G64" i="2" s="1"/>
  <c r="F103" i="2"/>
  <c r="F104" i="2"/>
  <c r="E81" i="5"/>
  <c r="E30" i="7"/>
  <c r="E32" i="7" s="1"/>
  <c r="E242" i="15"/>
  <c r="H215" i="15"/>
  <c r="D223" i="15"/>
  <c r="H223" i="15" s="1"/>
  <c r="B317" i="8"/>
  <c r="C309" i="8"/>
  <c r="C317" i="8"/>
  <c r="B108" i="9"/>
  <c r="C108" i="9"/>
  <c r="B295" i="8"/>
  <c r="L130" i="2"/>
  <c r="G223" i="5"/>
  <c r="H223" i="5" s="1"/>
  <c r="G251" i="8"/>
  <c r="H251" i="8" s="1"/>
  <c r="B22" i="18"/>
  <c r="J77" i="2"/>
  <c r="E67" i="15"/>
  <c r="T17" i="18"/>
  <c r="I77" i="2"/>
  <c r="K235" i="15"/>
  <c r="K241" i="15"/>
  <c r="L216" i="15"/>
  <c r="L222" i="15"/>
  <c r="L241" i="15"/>
  <c r="L235" i="15"/>
  <c r="M233" i="15"/>
  <c r="I241" i="15"/>
  <c r="I235" i="15"/>
  <c r="B222" i="15"/>
  <c r="C216" i="15"/>
  <c r="C214" i="15"/>
  <c r="B216" i="15"/>
  <c r="C222" i="15"/>
  <c r="D73" i="3"/>
  <c r="D81" i="3" s="1"/>
  <c r="D79" i="3"/>
  <c r="D78" i="3" s="1"/>
  <c r="D135" i="5"/>
  <c r="D275" i="5"/>
  <c r="D46" i="6"/>
  <c r="D48" i="6" s="1"/>
  <c r="D145" i="8"/>
  <c r="D46" i="9"/>
  <c r="C98" i="13"/>
  <c r="C84" i="13"/>
  <c r="B80" i="3"/>
  <c r="C72" i="3"/>
  <c r="C80" i="3"/>
  <c r="C136" i="5"/>
  <c r="B136" i="5"/>
  <c r="C276" i="5"/>
  <c r="B47" i="6"/>
  <c r="C47" i="6"/>
  <c r="B276" i="5"/>
  <c r="B146" i="8"/>
  <c r="B47" i="9"/>
  <c r="C146" i="8"/>
  <c r="C47" i="9"/>
  <c r="B99" i="13"/>
  <c r="B85" i="13"/>
  <c r="B93" i="5"/>
  <c r="C93" i="5"/>
  <c r="C67" i="5"/>
  <c r="B31" i="6"/>
  <c r="C31" i="6"/>
  <c r="F149" i="13"/>
  <c r="D197" i="15"/>
  <c r="D200" i="15"/>
  <c r="E132" i="15"/>
  <c r="E204" i="15" s="1"/>
  <c r="E344" i="8" s="1"/>
  <c r="F142" i="13"/>
  <c r="F148" i="13"/>
  <c r="D57" i="4"/>
  <c r="D192" i="4"/>
  <c r="D81" i="7"/>
  <c r="D241" i="8"/>
  <c r="D81" i="10"/>
  <c r="D275" i="15"/>
  <c r="F127" i="15"/>
  <c r="F131" i="15" s="1"/>
  <c r="AH25" i="18"/>
  <c r="H219" i="15"/>
  <c r="B49" i="5"/>
  <c r="C49" i="5"/>
  <c r="C76" i="5"/>
  <c r="C84" i="5"/>
  <c r="B27" i="7"/>
  <c r="B84" i="5"/>
  <c r="C27" i="7"/>
  <c r="E49" i="5"/>
  <c r="E84" i="5"/>
  <c r="E27" i="7"/>
  <c r="E35" i="7" s="1"/>
  <c r="H28" i="9"/>
  <c r="G239" i="15"/>
  <c r="G30" i="8" s="1"/>
  <c r="F239" i="15"/>
  <c r="F30" i="8" s="1"/>
  <c r="G220" i="15"/>
  <c r="G27" i="5" s="1"/>
  <c r="E220" i="15"/>
  <c r="E27" i="5" s="1"/>
  <c r="F220" i="15"/>
  <c r="F27" i="5" s="1"/>
  <c r="D120" i="10"/>
  <c r="D345" i="8"/>
  <c r="E57" i="4"/>
  <c r="E192" i="4"/>
  <c r="B81" i="5"/>
  <c r="C81" i="5"/>
  <c r="C79" i="5"/>
  <c r="B30" i="7"/>
  <c r="C30" i="7"/>
  <c r="C343" i="8"/>
  <c r="C120" i="10"/>
  <c r="B345" i="8"/>
  <c r="B34" i="8" s="1"/>
  <c r="C345" i="8"/>
  <c r="B120" i="10"/>
  <c r="F58" i="15"/>
  <c r="J162" i="2"/>
  <c r="F228" i="5"/>
  <c r="F256" i="8"/>
  <c r="F191" i="15"/>
  <c r="BL23" i="18"/>
  <c r="H141" i="13"/>
  <c r="D149" i="13"/>
  <c r="C327" i="8"/>
  <c r="B113" i="10"/>
  <c r="C113" i="10"/>
  <c r="E32" i="3"/>
  <c r="D9" i="3"/>
  <c r="E29" i="3"/>
  <c r="F36" i="3"/>
  <c r="J66" i="15"/>
  <c r="K66" i="15" s="1"/>
  <c r="L17" i="18"/>
  <c r="O108" i="2"/>
  <c r="L21" i="18"/>
  <c r="B186" i="4"/>
  <c r="D66" i="5"/>
  <c r="D62" i="5"/>
  <c r="D127" i="13"/>
  <c r="D131" i="13"/>
  <c r="D44" i="15"/>
  <c r="D38" i="15"/>
  <c r="E36" i="15"/>
  <c r="B46" i="15"/>
  <c r="B43" i="15"/>
  <c r="C44" i="5"/>
  <c r="C62" i="5"/>
  <c r="C70" i="5"/>
  <c r="B70" i="5"/>
  <c r="C88" i="5"/>
  <c r="B64" i="5"/>
  <c r="C64" i="5"/>
  <c r="B44" i="5"/>
  <c r="B88" i="5"/>
  <c r="C26" i="6"/>
  <c r="B26" i="6"/>
  <c r="F263" i="8"/>
  <c r="F257" i="8"/>
  <c r="E81" i="6"/>
  <c r="E81" i="9"/>
  <c r="E240" i="8"/>
  <c r="E274" i="15"/>
  <c r="H123" i="15"/>
  <c r="B177" i="4"/>
  <c r="D266" i="5"/>
  <c r="B94" i="7"/>
  <c r="D178" i="15"/>
  <c r="D181" i="15"/>
  <c r="D156" i="3"/>
  <c r="D150" i="3"/>
  <c r="B172" i="4"/>
  <c r="D134" i="3" s="1"/>
  <c r="B93" i="6"/>
  <c r="D261" i="5"/>
  <c r="G149" i="13"/>
  <c r="K177" i="2"/>
  <c r="E343" i="8"/>
  <c r="D45" i="5"/>
  <c r="D89" i="5"/>
  <c r="D27" i="6"/>
  <c r="D71" i="5"/>
  <c r="E149" i="3"/>
  <c r="E323" i="8"/>
  <c r="E309" i="8"/>
  <c r="E180" i="15"/>
  <c r="F172" i="15"/>
  <c r="D309" i="8"/>
  <c r="D310" i="8" s="1"/>
  <c r="H88" i="8" l="1"/>
  <c r="D101" i="8"/>
  <c r="D28" i="10"/>
  <c r="M72" i="8"/>
  <c r="I25" i="9"/>
  <c r="I73" i="8"/>
  <c r="I80" i="8"/>
  <c r="I54" i="8"/>
  <c r="E29" i="9"/>
  <c r="E30" i="9" s="1"/>
  <c r="E77" i="8"/>
  <c r="F29" i="9"/>
  <c r="F30" i="9" s="1"/>
  <c r="F77" i="8"/>
  <c r="M241" i="15"/>
  <c r="H148" i="13"/>
  <c r="D61" i="15"/>
  <c r="H48" i="5"/>
  <c r="H32" i="9"/>
  <c r="J24" i="10"/>
  <c r="J57" i="8"/>
  <c r="J61" i="8" s="1"/>
  <c r="J97" i="8"/>
  <c r="J92" i="8"/>
  <c r="J105" i="8" s="1"/>
  <c r="E24" i="10"/>
  <c r="E97" i="8"/>
  <c r="E92" i="8"/>
  <c r="E105" i="8" s="1"/>
  <c r="E57" i="8"/>
  <c r="E61" i="8" s="1"/>
  <c r="K101" i="8"/>
  <c r="K28" i="10"/>
  <c r="G92" i="8"/>
  <c r="G105" i="8" s="1"/>
  <c r="G57" i="8"/>
  <c r="G61" i="8" s="1"/>
  <c r="G97" i="8"/>
  <c r="G24" i="10"/>
  <c r="I24" i="10"/>
  <c r="I57" i="8"/>
  <c r="M84" i="8"/>
  <c r="I97" i="8"/>
  <c r="I92" i="8"/>
  <c r="E264" i="8"/>
  <c r="E236" i="5"/>
  <c r="D73" i="8"/>
  <c r="D80" i="8"/>
  <c r="D25" i="9"/>
  <c r="D54" i="8"/>
  <c r="H72" i="8"/>
  <c r="D77" i="8"/>
  <c r="H76" i="8"/>
  <c r="D29" i="9"/>
  <c r="G73" i="8"/>
  <c r="G25" i="9"/>
  <c r="G80" i="8"/>
  <c r="G78" i="8" s="1"/>
  <c r="G54" i="8"/>
  <c r="G77" i="8"/>
  <c r="G29" i="9"/>
  <c r="G30" i="9" s="1"/>
  <c r="B25" i="9"/>
  <c r="C72" i="8"/>
  <c r="C25" i="9"/>
  <c r="B54" i="8"/>
  <c r="C55" i="8" s="1"/>
  <c r="C80" i="8"/>
  <c r="C73" i="8"/>
  <c r="B73" i="8"/>
  <c r="B80" i="8"/>
  <c r="J28" i="10"/>
  <c r="J101" i="8"/>
  <c r="F24" i="10"/>
  <c r="F32" i="10" s="1"/>
  <c r="F57" i="8"/>
  <c r="F61" i="8" s="1"/>
  <c r="F97" i="8"/>
  <c r="F92" i="8"/>
  <c r="F105" i="8" s="1"/>
  <c r="C200" i="15"/>
  <c r="C197" i="15"/>
  <c r="F31" i="15"/>
  <c r="C104" i="13"/>
  <c r="H146" i="13"/>
  <c r="D284" i="5"/>
  <c r="E262" i="8"/>
  <c r="K92" i="8"/>
  <c r="K105" i="8" s="1"/>
  <c r="K57" i="8"/>
  <c r="K61" i="8" s="1"/>
  <c r="K24" i="10"/>
  <c r="K32" i="10" s="1"/>
  <c r="K97" i="8"/>
  <c r="L92" i="8"/>
  <c r="L105" i="8" s="1"/>
  <c r="L57" i="8"/>
  <c r="L61" i="8" s="1"/>
  <c r="L24" i="10"/>
  <c r="L97" i="8"/>
  <c r="D97" i="8"/>
  <c r="H84" i="8"/>
  <c r="D92" i="8"/>
  <c r="D24" i="10"/>
  <c r="D57" i="8"/>
  <c r="F101" i="8"/>
  <c r="F28" i="10"/>
  <c r="G28" i="10"/>
  <c r="G101" i="8"/>
  <c r="E199" i="15"/>
  <c r="J15" i="18"/>
  <c r="L54" i="2"/>
  <c r="G26" i="15"/>
  <c r="G56" i="15" s="1"/>
  <c r="G25" i="15"/>
  <c r="G55" i="15" s="1"/>
  <c r="L25" i="9"/>
  <c r="L80" i="8"/>
  <c r="L78" i="8" s="1"/>
  <c r="L73" i="8"/>
  <c r="L54" i="8"/>
  <c r="I77" i="8"/>
  <c r="M76" i="8"/>
  <c r="I29" i="9"/>
  <c r="E80" i="8"/>
  <c r="E78" i="8" s="1"/>
  <c r="E25" i="9"/>
  <c r="E54" i="8"/>
  <c r="E73" i="8"/>
  <c r="K73" i="8"/>
  <c r="K55" i="8" s="1"/>
  <c r="K19" i="8" s="1"/>
  <c r="K54" i="8"/>
  <c r="K80" i="8"/>
  <c r="K78" i="8" s="1"/>
  <c r="K25" i="9"/>
  <c r="L29" i="9"/>
  <c r="L30" i="9" s="1"/>
  <c r="L77" i="8"/>
  <c r="C92" i="8"/>
  <c r="C24" i="10"/>
  <c r="B97" i="8"/>
  <c r="B24" i="10"/>
  <c r="C57" i="8"/>
  <c r="B57" i="8"/>
  <c r="B92" i="8"/>
  <c r="C97" i="8"/>
  <c r="C84" i="8"/>
  <c r="C101" i="8"/>
  <c r="C28" i="10"/>
  <c r="B101" i="8"/>
  <c r="C88" i="8"/>
  <c r="B28" i="10"/>
  <c r="F54" i="8"/>
  <c r="F80" i="8"/>
  <c r="F78" i="8" s="1"/>
  <c r="F73" i="8"/>
  <c r="F25" i="9"/>
  <c r="H222" i="15"/>
  <c r="F260" i="8"/>
  <c r="F261" i="8" s="1"/>
  <c r="F232" i="5"/>
  <c r="F233" i="5" s="1"/>
  <c r="F195" i="15"/>
  <c r="F196" i="15" s="1"/>
  <c r="J164" i="2"/>
  <c r="AJ24" i="18"/>
  <c r="L132" i="2"/>
  <c r="G252" i="8"/>
  <c r="G224" i="5"/>
  <c r="T22" i="18"/>
  <c r="I259" i="8"/>
  <c r="I231" i="5"/>
  <c r="I194" i="15"/>
  <c r="V24" i="18"/>
  <c r="M163" i="2"/>
  <c r="I101" i="8"/>
  <c r="M101" i="8" s="1"/>
  <c r="M88" i="8"/>
  <c r="I28" i="10"/>
  <c r="L28" i="10"/>
  <c r="L101" i="8"/>
  <c r="E28" i="10"/>
  <c r="E101" i="8"/>
  <c r="C54" i="8"/>
  <c r="C29" i="9"/>
  <c r="C77" i="8"/>
  <c r="B29" i="9"/>
  <c r="B77" i="8"/>
  <c r="C76" i="8"/>
  <c r="J25" i="9"/>
  <c r="J54" i="8"/>
  <c r="J73" i="8"/>
  <c r="J80" i="8"/>
  <c r="J78" i="8" s="1"/>
  <c r="K29" i="9"/>
  <c r="K30" i="9" s="1"/>
  <c r="K77" i="8"/>
  <c r="J29" i="9"/>
  <c r="J30" i="9" s="1"/>
  <c r="J77" i="8"/>
  <c r="F192" i="15"/>
  <c r="E130" i="15"/>
  <c r="E97" i="3"/>
  <c r="E100" i="3"/>
  <c r="E340" i="8"/>
  <c r="E109" i="10"/>
  <c r="BD17" i="18"/>
  <c r="L79" i="2"/>
  <c r="H71" i="15"/>
  <c r="H72" i="15" s="1"/>
  <c r="H120" i="4"/>
  <c r="L58" i="2"/>
  <c r="BD15" i="18"/>
  <c r="L98" i="8"/>
  <c r="L93" i="8"/>
  <c r="L86" i="8"/>
  <c r="L58" i="8"/>
  <c r="L62" i="8" s="1"/>
  <c r="L25" i="10"/>
  <c r="K29" i="10"/>
  <c r="K30" i="10" s="1"/>
  <c r="K90" i="8"/>
  <c r="K103" i="8" s="1"/>
  <c r="K102" i="8"/>
  <c r="B93" i="8"/>
  <c r="C93" i="8"/>
  <c r="C85" i="8"/>
  <c r="C98" i="8"/>
  <c r="B86" i="8"/>
  <c r="B98" i="8"/>
  <c r="C58" i="8"/>
  <c r="B58" i="8"/>
  <c r="C25" i="10"/>
  <c r="B25" i="10"/>
  <c r="C86" i="8"/>
  <c r="M89" i="8"/>
  <c r="I102" i="8"/>
  <c r="I29" i="10"/>
  <c r="I90" i="8"/>
  <c r="D90" i="8"/>
  <c r="D102" i="8"/>
  <c r="D29" i="10"/>
  <c r="H89" i="8"/>
  <c r="D25" i="10"/>
  <c r="D93" i="8"/>
  <c r="D58" i="8"/>
  <c r="D86" i="8"/>
  <c r="D98" i="8"/>
  <c r="G58" i="8"/>
  <c r="G62" i="8" s="1"/>
  <c r="G93" i="8"/>
  <c r="G86" i="8"/>
  <c r="G98" i="8"/>
  <c r="G25" i="10"/>
  <c r="K93" i="8"/>
  <c r="K58" i="8"/>
  <c r="K62" i="8" s="1"/>
  <c r="K25" i="10"/>
  <c r="K98" i="8"/>
  <c r="K86" i="8"/>
  <c r="G29" i="10"/>
  <c r="G30" i="10" s="1"/>
  <c r="G102" i="8"/>
  <c r="G90" i="8"/>
  <c r="G103" i="8" s="1"/>
  <c r="H117" i="4"/>
  <c r="AN15" i="18"/>
  <c r="L57" i="2"/>
  <c r="M85" i="8"/>
  <c r="I58" i="8"/>
  <c r="I98" i="8"/>
  <c r="I86" i="8"/>
  <c r="I93" i="8"/>
  <c r="I25" i="10"/>
  <c r="J29" i="10"/>
  <c r="J30" i="10" s="1"/>
  <c r="J90" i="8"/>
  <c r="J103" i="8" s="1"/>
  <c r="J102" i="8"/>
  <c r="L29" i="10"/>
  <c r="L30" i="10" s="1"/>
  <c r="L90" i="8"/>
  <c r="L103" i="8" s="1"/>
  <c r="L102" i="8"/>
  <c r="F29" i="10"/>
  <c r="F30" i="10" s="1"/>
  <c r="F102" i="8"/>
  <c r="F90" i="8"/>
  <c r="C102" i="8"/>
  <c r="B90" i="8"/>
  <c r="C89" i="8"/>
  <c r="B29" i="10"/>
  <c r="B102" i="8"/>
  <c r="C90" i="8"/>
  <c r="C29" i="10"/>
  <c r="K277" i="8"/>
  <c r="H277" i="8"/>
  <c r="G280" i="8"/>
  <c r="E29" i="10"/>
  <c r="E30" i="10" s="1"/>
  <c r="E90" i="8"/>
  <c r="E103" i="8" s="1"/>
  <c r="E102" i="8"/>
  <c r="H85" i="8"/>
  <c r="F86" i="8"/>
  <c r="F93" i="8"/>
  <c r="F25" i="10"/>
  <c r="F58" i="8"/>
  <c r="F98" i="8"/>
  <c r="E93" i="8"/>
  <c r="E25" i="10"/>
  <c r="E98" i="8"/>
  <c r="E58" i="8"/>
  <c r="E62" i="8" s="1"/>
  <c r="E86" i="8"/>
  <c r="J58" i="8"/>
  <c r="J62" i="8" s="1"/>
  <c r="J86" i="8"/>
  <c r="J98" i="8"/>
  <c r="J93" i="8"/>
  <c r="J25" i="10"/>
  <c r="F203" i="15"/>
  <c r="D22" i="8"/>
  <c r="D315" i="8"/>
  <c r="D318" i="8"/>
  <c r="E214" i="5"/>
  <c r="E276" i="15" s="1"/>
  <c r="E242" i="8"/>
  <c r="D142" i="3"/>
  <c r="E247" i="5"/>
  <c r="C70" i="13"/>
  <c r="B51" i="17"/>
  <c r="E121" i="10"/>
  <c r="D110" i="4"/>
  <c r="D121" i="4" s="1"/>
  <c r="D109" i="4"/>
  <c r="R16" i="18"/>
  <c r="G68" i="2"/>
  <c r="H64" i="2"/>
  <c r="I58" i="2" s="1"/>
  <c r="E331" i="8"/>
  <c r="E113" i="9"/>
  <c r="C113" i="13"/>
  <c r="B95" i="6"/>
  <c r="E16" i="7"/>
  <c r="K77" i="2"/>
  <c r="G67" i="15"/>
  <c r="V17" i="18"/>
  <c r="B161" i="13"/>
  <c r="C161" i="13"/>
  <c r="D111" i="5"/>
  <c r="D141" i="5"/>
  <c r="F148" i="3"/>
  <c r="F322" i="8"/>
  <c r="F339" i="8"/>
  <c r="F308" i="8"/>
  <c r="F173" i="15"/>
  <c r="F179" i="15"/>
  <c r="G171" i="15"/>
  <c r="D30" i="8"/>
  <c r="H239" i="15"/>
  <c r="B122" i="9"/>
  <c r="C122" i="9"/>
  <c r="C78" i="3"/>
  <c r="B81" i="3"/>
  <c r="C81" i="3"/>
  <c r="D124" i="5"/>
  <c r="E150" i="13"/>
  <c r="E147" i="13"/>
  <c r="B162" i="4"/>
  <c r="A31" i="17"/>
  <c r="AD20" i="18"/>
  <c r="D270" i="5"/>
  <c r="E63" i="2"/>
  <c r="E102" i="2"/>
  <c r="E101" i="2"/>
  <c r="G16" i="7"/>
  <c r="C86" i="13"/>
  <c r="C92" i="13"/>
  <c r="M130" i="2"/>
  <c r="I223" i="5"/>
  <c r="I251" i="8"/>
  <c r="D22" i="18"/>
  <c r="G152" i="3"/>
  <c r="G312" i="8"/>
  <c r="H312" i="8" s="1"/>
  <c r="G326" i="8"/>
  <c r="I175" i="15"/>
  <c r="F112" i="10"/>
  <c r="D116" i="13"/>
  <c r="B34" i="7"/>
  <c r="C34" i="7"/>
  <c r="B28" i="7"/>
  <c r="C28" i="7"/>
  <c r="C50" i="5"/>
  <c r="D32" i="8"/>
  <c r="C27" i="5"/>
  <c r="B183" i="5"/>
  <c r="B16" i="7"/>
  <c r="C16" i="7"/>
  <c r="D20" i="5"/>
  <c r="H216" i="15"/>
  <c r="D224" i="15"/>
  <c r="D221" i="15"/>
  <c r="F153" i="3"/>
  <c r="G176" i="15"/>
  <c r="C177" i="4"/>
  <c r="E139" i="3" s="1"/>
  <c r="E266" i="5"/>
  <c r="E267" i="5" s="1"/>
  <c r="C94" i="7"/>
  <c r="H49" i="5"/>
  <c r="D140" i="3"/>
  <c r="E138" i="3"/>
  <c r="E251" i="5"/>
  <c r="C74" i="13"/>
  <c r="C76" i="13" s="1"/>
  <c r="B54" i="17"/>
  <c r="M55" i="2"/>
  <c r="H28" i="15"/>
  <c r="H29" i="15"/>
  <c r="Z15" i="18"/>
  <c r="E200" i="15"/>
  <c r="E197" i="15"/>
  <c r="D27" i="5"/>
  <c r="H220" i="15"/>
  <c r="C276" i="15"/>
  <c r="D279" i="15"/>
  <c r="E279" i="15" s="1"/>
  <c r="F279" i="15" s="1"/>
  <c r="AJ25" i="18"/>
  <c r="G127" i="15"/>
  <c r="C114" i="9"/>
  <c r="B114" i="9"/>
  <c r="I146" i="13"/>
  <c r="G57" i="4"/>
  <c r="G192" i="4"/>
  <c r="F20" i="5"/>
  <c r="F221" i="15"/>
  <c r="F224" i="15"/>
  <c r="F20" i="8"/>
  <c r="F240" i="15"/>
  <c r="F243" i="15"/>
  <c r="D48" i="10"/>
  <c r="F192" i="4"/>
  <c r="E314" i="8"/>
  <c r="E32" i="8" s="1"/>
  <c r="E81" i="7"/>
  <c r="E241" i="8"/>
  <c r="E81" i="10"/>
  <c r="E275" i="15"/>
  <c r="B94" i="5"/>
  <c r="C94" i="5"/>
  <c r="C114" i="10"/>
  <c r="B114" i="10"/>
  <c r="I30" i="8"/>
  <c r="M239" i="15"/>
  <c r="C93" i="13"/>
  <c r="H241" i="15"/>
  <c r="D50" i="5"/>
  <c r="H77" i="5"/>
  <c r="D85" i="5"/>
  <c r="D162" i="13"/>
  <c r="C52" i="4"/>
  <c r="C178" i="4"/>
  <c r="I31" i="7"/>
  <c r="E178" i="15"/>
  <c r="E181" i="15"/>
  <c r="E310" i="8"/>
  <c r="E107" i="9"/>
  <c r="E316" i="8"/>
  <c r="G235" i="5"/>
  <c r="H235" i="5" s="1"/>
  <c r="D298" i="8"/>
  <c r="B300" i="8"/>
  <c r="C300" i="8"/>
  <c r="B102" i="10"/>
  <c r="C298" i="8"/>
  <c r="C102" i="10"/>
  <c r="B104" i="13"/>
  <c r="B48" i="10"/>
  <c r="C48" i="10"/>
  <c r="B141" i="5"/>
  <c r="C141" i="5"/>
  <c r="B111" i="5"/>
  <c r="D123" i="5"/>
  <c r="C111" i="5"/>
  <c r="D339" i="8"/>
  <c r="D73" i="15"/>
  <c r="D76" i="15"/>
  <c r="H242" i="15"/>
  <c r="D32" i="7"/>
  <c r="H32" i="7" s="1"/>
  <c r="H30" i="7"/>
  <c r="B163" i="4"/>
  <c r="A32" i="17"/>
  <c r="AT20" i="18"/>
  <c r="B181" i="4"/>
  <c r="D135" i="3"/>
  <c r="D136" i="3" s="1"/>
  <c r="L11" i="10"/>
  <c r="C184" i="13"/>
  <c r="C195" i="13"/>
  <c r="F149" i="3"/>
  <c r="F309" i="8"/>
  <c r="F323" i="8"/>
  <c r="F180" i="15"/>
  <c r="G172" i="15"/>
  <c r="D35" i="6"/>
  <c r="C186" i="4"/>
  <c r="E66" i="5"/>
  <c r="E62" i="5"/>
  <c r="E127" i="13"/>
  <c r="E131" i="13"/>
  <c r="E44" i="15"/>
  <c r="E38" i="15"/>
  <c r="F36" i="15"/>
  <c r="F61" i="15"/>
  <c r="C144" i="5"/>
  <c r="B144" i="5"/>
  <c r="D119" i="8"/>
  <c r="D147" i="8"/>
  <c r="D153" i="8"/>
  <c r="C163" i="4"/>
  <c r="AV20" i="18"/>
  <c r="B32" i="17"/>
  <c r="E50" i="5"/>
  <c r="E26" i="5" s="1"/>
  <c r="E85" i="5"/>
  <c r="F197" i="15"/>
  <c r="B119" i="5"/>
  <c r="B137" i="13"/>
  <c r="B134" i="13"/>
  <c r="C137" i="13"/>
  <c r="C134" i="13"/>
  <c r="B155" i="13"/>
  <c r="C155" i="13"/>
  <c r="I27" i="5"/>
  <c r="M220" i="15"/>
  <c r="I48" i="5"/>
  <c r="I83" i="5"/>
  <c r="I77" i="5"/>
  <c r="I26" i="7"/>
  <c r="B32" i="6"/>
  <c r="C32" i="6"/>
  <c r="F34" i="7"/>
  <c r="F28" i="7"/>
  <c r="B35" i="6"/>
  <c r="C35" i="6"/>
  <c r="D20" i="8"/>
  <c r="H235" i="15"/>
  <c r="D240" i="15"/>
  <c r="D243" i="15"/>
  <c r="D28" i="7"/>
  <c r="H26" i="7"/>
  <c r="D34" i="7"/>
  <c r="J122" i="2"/>
  <c r="L121" i="2"/>
  <c r="G212" i="5"/>
  <c r="G112" i="15"/>
  <c r="H112" i="15" s="1"/>
  <c r="Z21" i="18"/>
  <c r="K121" i="2"/>
  <c r="H81" i="9"/>
  <c r="H212" i="5"/>
  <c r="H81" i="6"/>
  <c r="H247" i="5"/>
  <c r="H249" i="5"/>
  <c r="D255" i="5"/>
  <c r="D249" i="5"/>
  <c r="B89" i="6"/>
  <c r="F89" i="6"/>
  <c r="H255" i="5"/>
  <c r="F60" i="15"/>
  <c r="F62" i="15"/>
  <c r="G50" i="5"/>
  <c r="G26" i="5" s="1"/>
  <c r="G85" i="5"/>
  <c r="F125" i="15"/>
  <c r="C119" i="8"/>
  <c r="C147" i="8"/>
  <c r="B153" i="8"/>
  <c r="C153" i="8"/>
  <c r="B147" i="8"/>
  <c r="B119" i="8"/>
  <c r="J20" i="8"/>
  <c r="J240" i="15"/>
  <c r="J243" i="15"/>
  <c r="H149" i="13"/>
  <c r="L162" i="2"/>
  <c r="G228" i="5"/>
  <c r="G256" i="8"/>
  <c r="B24" i="18"/>
  <c r="G191" i="15"/>
  <c r="K162" i="2"/>
  <c r="B35" i="7"/>
  <c r="C35" i="7"/>
  <c r="L20" i="5"/>
  <c r="L224" i="15"/>
  <c r="L221" i="15"/>
  <c r="E108" i="9"/>
  <c r="E317" i="8"/>
  <c r="D155" i="3"/>
  <c r="D158" i="3"/>
  <c r="C52" i="5"/>
  <c r="C46" i="5"/>
  <c r="B52" i="5"/>
  <c r="C96" i="5"/>
  <c r="B96" i="5"/>
  <c r="D43" i="15"/>
  <c r="D46" i="15"/>
  <c r="D92" i="5"/>
  <c r="D68" i="5"/>
  <c r="D30" i="6"/>
  <c r="C34" i="8"/>
  <c r="C15" i="10"/>
  <c r="B192" i="8"/>
  <c r="B15" i="10"/>
  <c r="C32" i="7"/>
  <c r="B32" i="7"/>
  <c r="F176" i="8"/>
  <c r="F11" i="10"/>
  <c r="B93" i="13"/>
  <c r="C100" i="13"/>
  <c r="C106" i="13"/>
  <c r="D283" i="5"/>
  <c r="D277" i="5"/>
  <c r="L20" i="8"/>
  <c r="L240" i="15"/>
  <c r="L243" i="15"/>
  <c r="E75" i="15"/>
  <c r="F75" i="15" s="1"/>
  <c r="E68" i="15"/>
  <c r="F67" i="15"/>
  <c r="F68" i="2"/>
  <c r="C110" i="4"/>
  <c r="C121" i="4" s="1"/>
  <c r="C109" i="4"/>
  <c r="P16" i="18"/>
  <c r="E82" i="5"/>
  <c r="F177" i="15"/>
  <c r="F154" i="3"/>
  <c r="D176" i="4"/>
  <c r="F265" i="5"/>
  <c r="D93" i="7"/>
  <c r="B50" i="5"/>
  <c r="B26" i="5" s="1"/>
  <c r="B85" i="5"/>
  <c r="B82" i="5"/>
  <c r="C85" i="5"/>
  <c r="C82" i="5"/>
  <c r="D109" i="10"/>
  <c r="D294" i="8"/>
  <c r="B296" i="8"/>
  <c r="C296" i="8"/>
  <c r="B102" i="9"/>
  <c r="B302" i="8"/>
  <c r="C102" i="9"/>
  <c r="C302" i="8"/>
  <c r="C294" i="8"/>
  <c r="E154" i="13"/>
  <c r="E136" i="13"/>
  <c r="E162" i="13" s="1"/>
  <c r="H27" i="7"/>
  <c r="D35" i="7"/>
  <c r="H35" i="7" s="1"/>
  <c r="B76" i="13"/>
  <c r="B68" i="4"/>
  <c r="D33" i="8"/>
  <c r="K11" i="10"/>
  <c r="L178" i="2"/>
  <c r="M176" i="2"/>
  <c r="I123" i="15"/>
  <c r="B25" i="18"/>
  <c r="I142" i="13"/>
  <c r="I148" i="13"/>
  <c r="K20" i="5"/>
  <c r="K221" i="15"/>
  <c r="K224" i="15"/>
  <c r="B20" i="8"/>
  <c r="B240" i="15"/>
  <c r="C243" i="15"/>
  <c r="B243" i="15"/>
  <c r="C240" i="15"/>
  <c r="D151" i="8"/>
  <c r="D120" i="8"/>
  <c r="F57" i="4"/>
  <c r="B67" i="4"/>
  <c r="D23" i="8"/>
  <c r="D332" i="8"/>
  <c r="D329" i="8"/>
  <c r="F82" i="5"/>
  <c r="F128" i="15"/>
  <c r="AZ25" i="18"/>
  <c r="B97" i="5"/>
  <c r="C97" i="5"/>
  <c r="C107" i="13"/>
  <c r="D144" i="5"/>
  <c r="H83" i="5"/>
  <c r="D82" i="5"/>
  <c r="D113" i="9"/>
  <c r="D331" i="8"/>
  <c r="B113" i="13"/>
  <c r="E154" i="3"/>
  <c r="H191" i="4"/>
  <c r="J80" i="5"/>
  <c r="J31" i="7" s="1"/>
  <c r="J76" i="5"/>
  <c r="J141" i="13"/>
  <c r="J145" i="13"/>
  <c r="K41" i="15"/>
  <c r="I84" i="5"/>
  <c r="I27" i="7"/>
  <c r="I49" i="5"/>
  <c r="E150" i="3"/>
  <c r="E156" i="3"/>
  <c r="C172" i="4"/>
  <c r="C93" i="6"/>
  <c r="E261" i="5"/>
  <c r="F81" i="6"/>
  <c r="F240" i="8"/>
  <c r="F81" i="9"/>
  <c r="F274" i="15"/>
  <c r="M161" i="2"/>
  <c r="I227" i="5"/>
  <c r="I255" i="8"/>
  <c r="I190" i="15"/>
  <c r="AX23" i="18"/>
  <c r="D204" i="15"/>
  <c r="D205" i="15" s="1"/>
  <c r="C299" i="8"/>
  <c r="D299" i="8"/>
  <c r="B103" i="10"/>
  <c r="C103" i="10"/>
  <c r="C109" i="10"/>
  <c r="B109" i="10"/>
  <c r="G34" i="7"/>
  <c r="G28" i="7"/>
  <c r="B95" i="7"/>
  <c r="H152" i="3"/>
  <c r="J11" i="10"/>
  <c r="B48" i="9"/>
  <c r="C48" i="9"/>
  <c r="B137" i="5"/>
  <c r="B110" i="5"/>
  <c r="C137" i="5"/>
  <c r="C110" i="5"/>
  <c r="B143" i="5"/>
  <c r="C143" i="5"/>
  <c r="I20" i="5"/>
  <c r="M216" i="15"/>
  <c r="I221" i="15"/>
  <c r="I224" i="15"/>
  <c r="G20" i="8"/>
  <c r="G243" i="15"/>
  <c r="G240" i="15"/>
  <c r="B48" i="7"/>
  <c r="C48" i="7"/>
  <c r="H81" i="5"/>
  <c r="E68" i="2"/>
  <c r="B110" i="4"/>
  <c r="B109" i="4"/>
  <c r="N16" i="18"/>
  <c r="B162" i="13"/>
  <c r="C162" i="13"/>
  <c r="G20" i="5"/>
  <c r="G221" i="15"/>
  <c r="G224" i="15"/>
  <c r="E345" i="8"/>
  <c r="E120" i="10"/>
  <c r="E122" i="10" s="1"/>
  <c r="B46" i="5"/>
  <c r="B72" i="5"/>
  <c r="C72" i="5"/>
  <c r="B90" i="5"/>
  <c r="B69" i="5"/>
  <c r="C90" i="5"/>
  <c r="C69" i="5"/>
  <c r="D135" i="13"/>
  <c r="D129" i="13"/>
  <c r="D153" i="13"/>
  <c r="B122" i="10"/>
  <c r="C122" i="10"/>
  <c r="B72" i="4"/>
  <c r="D34" i="8"/>
  <c r="C284" i="5"/>
  <c r="B284" i="5"/>
  <c r="F107" i="10"/>
  <c r="B22" i="8"/>
  <c r="B318" i="8"/>
  <c r="B315" i="8"/>
  <c r="C318" i="8"/>
  <c r="C315" i="8"/>
  <c r="E93" i="5"/>
  <c r="E31" i="6"/>
  <c r="E113" i="10"/>
  <c r="E114" i="10" s="1"/>
  <c r="C117" i="13"/>
  <c r="C118" i="13" s="1"/>
  <c r="B123" i="3"/>
  <c r="A56" i="17"/>
  <c r="G58" i="15"/>
  <c r="B118" i="13"/>
  <c r="B23" i="8"/>
  <c r="C329" i="8"/>
  <c r="B332" i="8"/>
  <c r="B329" i="8"/>
  <c r="C332" i="8"/>
  <c r="C33" i="8"/>
  <c r="B188" i="8"/>
  <c r="B14" i="10"/>
  <c r="C14" i="10"/>
  <c r="E341" i="8"/>
  <c r="E347" i="8"/>
  <c r="E120" i="9"/>
  <c r="G263" i="8"/>
  <c r="H263" i="8" s="1"/>
  <c r="H255" i="8"/>
  <c r="B52" i="4"/>
  <c r="B178" i="4"/>
  <c r="C11" i="10"/>
  <c r="C30" i="8"/>
  <c r="B176" i="8"/>
  <c r="B11" i="10"/>
  <c r="G104" i="2"/>
  <c r="B106" i="13"/>
  <c r="B100" i="13"/>
  <c r="C48" i="6"/>
  <c r="B48" i="6"/>
  <c r="J20" i="5"/>
  <c r="J221" i="15"/>
  <c r="J224" i="15"/>
  <c r="B120" i="8"/>
  <c r="C151" i="8"/>
  <c r="C120" i="8"/>
  <c r="B151" i="8"/>
  <c r="E157" i="3"/>
  <c r="C173" i="4"/>
  <c r="C181" i="4" s="1"/>
  <c r="C94" i="6"/>
  <c r="E262" i="5"/>
  <c r="B51" i="4"/>
  <c r="B174" i="4"/>
  <c r="B180" i="4"/>
  <c r="F265" i="8"/>
  <c r="F262" i="8"/>
  <c r="D44" i="5"/>
  <c r="D70" i="5"/>
  <c r="D88" i="5"/>
  <c r="D64" i="5"/>
  <c r="D26" i="6"/>
  <c r="P108" i="2"/>
  <c r="N21" i="18"/>
  <c r="F37" i="3"/>
  <c r="E12" i="3"/>
  <c r="F43" i="3"/>
  <c r="F46" i="3"/>
  <c r="F44" i="3"/>
  <c r="B103" i="3"/>
  <c r="B285" i="8" s="1"/>
  <c r="F45" i="3"/>
  <c r="F38" i="3"/>
  <c r="D122" i="10"/>
  <c r="F129" i="15"/>
  <c r="H127" i="15"/>
  <c r="C162" i="4"/>
  <c r="AF20" i="18"/>
  <c r="B31" i="17"/>
  <c r="D108" i="9"/>
  <c r="D317" i="8"/>
  <c r="E348" i="8"/>
  <c r="E121" i="9"/>
  <c r="D97" i="5"/>
  <c r="D53" i="5"/>
  <c r="D263" i="5"/>
  <c r="D269" i="5"/>
  <c r="C34" i="6"/>
  <c r="B28" i="6"/>
  <c r="C28" i="6"/>
  <c r="B34" i="6"/>
  <c r="D133" i="13"/>
  <c r="D120" i="5" s="1"/>
  <c r="D157" i="13"/>
  <c r="B56" i="4"/>
  <c r="B188" i="4"/>
  <c r="B194" i="4"/>
  <c r="J74" i="15"/>
  <c r="K74" i="15" s="1"/>
  <c r="F264" i="8"/>
  <c r="F183" i="5"/>
  <c r="F68" i="7" s="1"/>
  <c r="F16" i="7"/>
  <c r="G11" i="10"/>
  <c r="F150" i="13"/>
  <c r="F147" i="13"/>
  <c r="B107" i="13"/>
  <c r="B154" i="8"/>
  <c r="C154" i="8"/>
  <c r="D48" i="9"/>
  <c r="D143" i="5"/>
  <c r="D137" i="5"/>
  <c r="D110" i="5"/>
  <c r="B20" i="5"/>
  <c r="C221" i="15"/>
  <c r="B221" i="15"/>
  <c r="C224" i="15"/>
  <c r="B224" i="15"/>
  <c r="I20" i="8"/>
  <c r="I240" i="15"/>
  <c r="M235" i="15"/>
  <c r="I243" i="15"/>
  <c r="K20" i="8"/>
  <c r="K243" i="15"/>
  <c r="K240" i="15"/>
  <c r="C295" i="8"/>
  <c r="C303" i="8"/>
  <c r="D295" i="8"/>
  <c r="B103" i="9"/>
  <c r="B303" i="8"/>
  <c r="C103" i="9"/>
  <c r="D147" i="13"/>
  <c r="D150" i="13"/>
  <c r="H142" i="13"/>
  <c r="E28" i="7"/>
  <c r="E34" i="7"/>
  <c r="E205" i="15"/>
  <c r="C109" i="9"/>
  <c r="B109" i="9"/>
  <c r="F63" i="5"/>
  <c r="F67" i="5"/>
  <c r="D187" i="4"/>
  <c r="F132" i="13"/>
  <c r="F158" i="13" s="1"/>
  <c r="F128" i="13"/>
  <c r="F45" i="15"/>
  <c r="G37" i="15"/>
  <c r="E71" i="5"/>
  <c r="E97" i="5" s="1"/>
  <c r="E89" i="5"/>
  <c r="E45" i="5"/>
  <c r="E53" i="5" s="1"/>
  <c r="E27" i="6"/>
  <c r="E35" i="6" s="1"/>
  <c r="E328" i="8"/>
  <c r="H84" i="5"/>
  <c r="D253" i="5"/>
  <c r="H253" i="5"/>
  <c r="B89" i="7"/>
  <c r="F89" i="7"/>
  <c r="H251" i="5"/>
  <c r="G59" i="15"/>
  <c r="G32" i="15"/>
  <c r="G30" i="15"/>
  <c r="K70" i="15"/>
  <c r="D114" i="10"/>
  <c r="J16" i="7"/>
  <c r="L16" i="7"/>
  <c r="C168" i="13"/>
  <c r="C176" i="13"/>
  <c r="G131" i="15"/>
  <c r="G203" i="15" s="1"/>
  <c r="G343" i="8" s="1"/>
  <c r="H190" i="4"/>
  <c r="J75" i="5"/>
  <c r="J79" i="5"/>
  <c r="J144" i="13"/>
  <c r="J42" i="15"/>
  <c r="J140" i="13"/>
  <c r="K40" i="15"/>
  <c r="I81" i="5"/>
  <c r="I30" i="7"/>
  <c r="M32" i="9"/>
  <c r="E20" i="5"/>
  <c r="E221" i="15"/>
  <c r="E224" i="15"/>
  <c r="B114" i="13"/>
  <c r="B120" i="13"/>
  <c r="F229" i="5"/>
  <c r="G150" i="13"/>
  <c r="G147" i="13"/>
  <c r="F50" i="5"/>
  <c r="F26" i="5" s="1"/>
  <c r="F85" i="5"/>
  <c r="L177" i="2"/>
  <c r="J179" i="2"/>
  <c r="K179" i="2" s="1"/>
  <c r="G124" i="15"/>
  <c r="G125" i="15" s="1"/>
  <c r="R25" i="18"/>
  <c r="B53" i="5"/>
  <c r="C53" i="5"/>
  <c r="D154" i="8"/>
  <c r="C95" i="7"/>
  <c r="I149" i="13"/>
  <c r="E112" i="9"/>
  <c r="E324" i="8"/>
  <c r="C112" i="13"/>
  <c r="E330" i="8"/>
  <c r="H240" i="8"/>
  <c r="F213" i="5"/>
  <c r="F113" i="15"/>
  <c r="F114" i="15" s="1"/>
  <c r="AP21" i="18"/>
  <c r="H81" i="10"/>
  <c r="K122" i="2"/>
  <c r="G198" i="15"/>
  <c r="H198" i="15" s="1"/>
  <c r="G192" i="15"/>
  <c r="H190" i="15"/>
  <c r="B120" i="5"/>
  <c r="B159" i="13"/>
  <c r="C159" i="13"/>
  <c r="B72" i="13"/>
  <c r="B78" i="13"/>
  <c r="C141" i="3"/>
  <c r="C144" i="3"/>
  <c r="B120" i="3"/>
  <c r="B141" i="3"/>
  <c r="A57" i="17" s="1"/>
  <c r="B144" i="3"/>
  <c r="A53" i="17"/>
  <c r="C32" i="8"/>
  <c r="B184" i="8"/>
  <c r="B13" i="10"/>
  <c r="C13" i="10"/>
  <c r="B123" i="5"/>
  <c r="B150" i="13"/>
  <c r="B147" i="13"/>
  <c r="C150" i="13"/>
  <c r="C147" i="13"/>
  <c r="G82" i="5"/>
  <c r="D267" i="5"/>
  <c r="E176" i="8"/>
  <c r="E11" i="10"/>
  <c r="B24" i="8"/>
  <c r="B349" i="8"/>
  <c r="B346" i="8"/>
  <c r="C349" i="8"/>
  <c r="C346" i="8"/>
  <c r="G103" i="2"/>
  <c r="B86" i="13"/>
  <c r="B92" i="13"/>
  <c r="B277" i="5"/>
  <c r="C277" i="5"/>
  <c r="B283" i="5"/>
  <c r="C283" i="5"/>
  <c r="B78" i="3"/>
  <c r="M222" i="15"/>
  <c r="B90" i="13"/>
  <c r="B281" i="5"/>
  <c r="C281" i="5"/>
  <c r="B124" i="5"/>
  <c r="E20" i="8"/>
  <c r="E240" i="15"/>
  <c r="E243" i="15"/>
  <c r="H81" i="7"/>
  <c r="F199" i="15" l="1"/>
  <c r="G33" i="9"/>
  <c r="G26" i="9"/>
  <c r="H80" i="8"/>
  <c r="D78" i="8"/>
  <c r="M24" i="10"/>
  <c r="I32" i="10"/>
  <c r="M54" i="8"/>
  <c r="I64" i="2"/>
  <c r="J149" i="13"/>
  <c r="F327" i="8"/>
  <c r="F328" i="8" s="1"/>
  <c r="J64" i="2"/>
  <c r="F103" i="8"/>
  <c r="J81" i="8"/>
  <c r="J55" i="8"/>
  <c r="J19" i="8" s="1"/>
  <c r="N163" i="2"/>
  <c r="X24" i="18"/>
  <c r="J231" i="5"/>
  <c r="J194" i="15"/>
  <c r="J259" i="8"/>
  <c r="M132" i="2"/>
  <c r="I252" i="8"/>
  <c r="V22" i="18"/>
  <c r="I224" i="5"/>
  <c r="F33" i="9"/>
  <c r="F26" i="9"/>
  <c r="C61" i="8"/>
  <c r="B61" i="8"/>
  <c r="K33" i="9"/>
  <c r="K26" i="9"/>
  <c r="H73" i="8"/>
  <c r="E55" i="8"/>
  <c r="E19" i="8" s="1"/>
  <c r="E171" i="8" s="1"/>
  <c r="E81" i="8"/>
  <c r="M29" i="9"/>
  <c r="I30" i="9"/>
  <c r="M30" i="9" s="1"/>
  <c r="L55" i="8"/>
  <c r="L19" i="8" s="1"/>
  <c r="B194" i="13" s="1"/>
  <c r="L81" i="8"/>
  <c r="H57" i="8"/>
  <c r="D61" i="8"/>
  <c r="H61" i="8" s="1"/>
  <c r="B81" i="8"/>
  <c r="B78" i="8"/>
  <c r="B55" i="8"/>
  <c r="B19" i="8" s="1"/>
  <c r="C81" i="8"/>
  <c r="C78" i="8"/>
  <c r="G81" i="8"/>
  <c r="G55" i="8"/>
  <c r="G19" i="8" s="1"/>
  <c r="D55" i="8"/>
  <c r="M97" i="8"/>
  <c r="G32" i="10"/>
  <c r="M80" i="8"/>
  <c r="I78" i="8"/>
  <c r="H28" i="10"/>
  <c r="B105" i="8"/>
  <c r="C105" i="8"/>
  <c r="F313" i="8"/>
  <c r="F314" i="8" s="1"/>
  <c r="F32" i="8" s="1"/>
  <c r="F184" i="8" s="1"/>
  <c r="K81" i="8"/>
  <c r="C33" i="9"/>
  <c r="B30" i="9"/>
  <c r="C30" i="9"/>
  <c r="M28" i="10"/>
  <c r="F55" i="8"/>
  <c r="F19" i="8" s="1"/>
  <c r="F81" i="8"/>
  <c r="H25" i="15"/>
  <c r="H26" i="15"/>
  <c r="M54" i="2"/>
  <c r="L15" i="18"/>
  <c r="N54" i="2"/>
  <c r="D32" i="10"/>
  <c r="H24" i="10"/>
  <c r="H29" i="9"/>
  <c r="D30" i="9"/>
  <c r="H30" i="9" s="1"/>
  <c r="H54" i="8"/>
  <c r="H97" i="8"/>
  <c r="E32" i="10"/>
  <c r="J32" i="10"/>
  <c r="M73" i="8"/>
  <c r="I81" i="8"/>
  <c r="I55" i="8"/>
  <c r="H101" i="8"/>
  <c r="D81" i="8"/>
  <c r="H77" i="8"/>
  <c r="I105" i="8"/>
  <c r="M105" i="8" s="1"/>
  <c r="M92" i="8"/>
  <c r="J146" i="13"/>
  <c r="D112" i="5"/>
  <c r="G31" i="15"/>
  <c r="G61" i="15" s="1"/>
  <c r="F200" i="15"/>
  <c r="F62" i="8"/>
  <c r="J33" i="9"/>
  <c r="J26" i="9"/>
  <c r="G232" i="5"/>
  <c r="G236" i="5" s="1"/>
  <c r="H236" i="5" s="1"/>
  <c r="K164" i="2"/>
  <c r="G195" i="15"/>
  <c r="G260" i="8"/>
  <c r="L164" i="2"/>
  <c r="AL24" i="18"/>
  <c r="C32" i="10"/>
  <c r="B32" i="10"/>
  <c r="E26" i="9"/>
  <c r="E33" i="9"/>
  <c r="M77" i="8"/>
  <c r="L33" i="9"/>
  <c r="L26" i="9"/>
  <c r="D105" i="8"/>
  <c r="H105" i="8" s="1"/>
  <c r="H92" i="8"/>
  <c r="L32" i="10"/>
  <c r="F236" i="5"/>
  <c r="B26" i="9"/>
  <c r="B33" i="9"/>
  <c r="C26" i="9"/>
  <c r="D26" i="9"/>
  <c r="D33" i="9"/>
  <c r="H33" i="9" s="1"/>
  <c r="H25" i="9"/>
  <c r="I61" i="8"/>
  <c r="M61" i="8" s="1"/>
  <c r="M57" i="8"/>
  <c r="I26" i="9"/>
  <c r="M25" i="9"/>
  <c r="I33" i="9"/>
  <c r="M33" i="9" s="1"/>
  <c r="E183" i="5"/>
  <c r="E68" i="7" s="1"/>
  <c r="J91" i="8"/>
  <c r="J106" i="8"/>
  <c r="J94" i="8"/>
  <c r="J99" i="8"/>
  <c r="J59" i="8"/>
  <c r="E94" i="8"/>
  <c r="E99" i="8"/>
  <c r="E59" i="8"/>
  <c r="E106" i="8"/>
  <c r="E91" i="8"/>
  <c r="H93" i="8"/>
  <c r="F91" i="8"/>
  <c r="F106" i="8"/>
  <c r="C30" i="10"/>
  <c r="B30" i="10"/>
  <c r="B103" i="8"/>
  <c r="C103" i="8"/>
  <c r="I91" i="8"/>
  <c r="I106" i="8"/>
  <c r="M93" i="8"/>
  <c r="M98" i="8"/>
  <c r="G33" i="10"/>
  <c r="G26" i="10"/>
  <c r="G94" i="8"/>
  <c r="G99" i="8"/>
  <c r="G59" i="8"/>
  <c r="H86" i="8"/>
  <c r="D94" i="8"/>
  <c r="D59" i="8"/>
  <c r="D99" i="8"/>
  <c r="D91" i="8"/>
  <c r="D106" i="8"/>
  <c r="H102" i="8"/>
  <c r="I103" i="8"/>
  <c r="M103" i="8" s="1"/>
  <c r="M90" i="8"/>
  <c r="M102" i="8"/>
  <c r="C91" i="8"/>
  <c r="C94" i="8"/>
  <c r="C99" i="8"/>
  <c r="B99" i="8"/>
  <c r="B59" i="8"/>
  <c r="B94" i="8"/>
  <c r="B91" i="8"/>
  <c r="C106" i="8"/>
  <c r="B106" i="8"/>
  <c r="L33" i="10"/>
  <c r="L26" i="10"/>
  <c r="L59" i="8"/>
  <c r="L94" i="8"/>
  <c r="L99" i="8"/>
  <c r="M58" i="2"/>
  <c r="BF15" i="18"/>
  <c r="I120" i="4"/>
  <c r="M79" i="2"/>
  <c r="BF17" i="18"/>
  <c r="I71" i="15"/>
  <c r="I72" i="15" s="1"/>
  <c r="J33" i="10"/>
  <c r="J26" i="10"/>
  <c r="E33" i="10"/>
  <c r="E26" i="10"/>
  <c r="F33" i="10"/>
  <c r="F26" i="10"/>
  <c r="F59" i="8"/>
  <c r="F94" i="8"/>
  <c r="F99" i="8"/>
  <c r="K280" i="8"/>
  <c r="H280" i="8"/>
  <c r="M25" i="10"/>
  <c r="I26" i="10"/>
  <c r="I33" i="10"/>
  <c r="M86" i="8"/>
  <c r="I59" i="8"/>
  <c r="I99" i="8"/>
  <c r="I94" i="8"/>
  <c r="I62" i="8"/>
  <c r="M62" i="8" s="1"/>
  <c r="M58" i="8"/>
  <c r="M57" i="2"/>
  <c r="AP15" i="18"/>
  <c r="I117" i="4"/>
  <c r="K99" i="8"/>
  <c r="K94" i="8"/>
  <c r="K59" i="8"/>
  <c r="K33" i="10"/>
  <c r="K26" i="10"/>
  <c r="K106" i="8"/>
  <c r="K91" i="8"/>
  <c r="G106" i="8"/>
  <c r="G91" i="8"/>
  <c r="H98" i="8"/>
  <c r="H58" i="8"/>
  <c r="D62" i="8"/>
  <c r="H62" i="8" s="1"/>
  <c r="D33" i="10"/>
  <c r="D26" i="10"/>
  <c r="H25" i="10"/>
  <c r="H29" i="10"/>
  <c r="D30" i="10"/>
  <c r="H30" i="10" s="1"/>
  <c r="D103" i="8"/>
  <c r="H90" i="8"/>
  <c r="M29" i="10"/>
  <c r="I30" i="10"/>
  <c r="M30" i="10" s="1"/>
  <c r="B33" i="10"/>
  <c r="C26" i="10"/>
  <c r="C33" i="10"/>
  <c r="B26" i="10"/>
  <c r="C59" i="8"/>
  <c r="C62" i="8"/>
  <c r="B62" i="8"/>
  <c r="L91" i="8"/>
  <c r="L106" i="8"/>
  <c r="F214" i="5"/>
  <c r="F276" i="15" s="1"/>
  <c r="F242" i="8"/>
  <c r="G120" i="10"/>
  <c r="C24" i="8"/>
  <c r="C44" i="8"/>
  <c r="B44" i="8"/>
  <c r="B191" i="8"/>
  <c r="C15" i="9"/>
  <c r="B15" i="9"/>
  <c r="E69" i="10"/>
  <c r="C101" i="17"/>
  <c r="B128" i="5"/>
  <c r="C120" i="5"/>
  <c r="C128" i="5"/>
  <c r="B43" i="6"/>
  <c r="C43" i="6"/>
  <c r="C129" i="8"/>
  <c r="B42" i="9"/>
  <c r="B129" i="8"/>
  <c r="C42" i="9"/>
  <c r="A76" i="17"/>
  <c r="F45" i="5"/>
  <c r="F53" i="5" s="1"/>
  <c r="F71" i="5"/>
  <c r="F97" i="5" s="1"/>
  <c r="F89" i="5"/>
  <c r="F27" i="6"/>
  <c r="E36" i="7"/>
  <c r="E33" i="7"/>
  <c r="M20" i="5"/>
  <c r="I34" i="5"/>
  <c r="I16" i="6"/>
  <c r="I235" i="5"/>
  <c r="D43" i="8"/>
  <c r="D187" i="8"/>
  <c r="D14" i="9"/>
  <c r="C105" i="13"/>
  <c r="C108" i="13"/>
  <c r="B91" i="6"/>
  <c r="F91" i="6"/>
  <c r="L122" i="2"/>
  <c r="M121" i="2"/>
  <c r="I212" i="5"/>
  <c r="AB21" i="18"/>
  <c r="I112" i="15"/>
  <c r="E43" i="15"/>
  <c r="E46" i="15"/>
  <c r="E68" i="5"/>
  <c r="E94" i="5" s="1"/>
  <c r="E92" i="5"/>
  <c r="E30" i="6"/>
  <c r="E32" i="6" s="1"/>
  <c r="C67" i="4"/>
  <c r="E23" i="8"/>
  <c r="E332" i="8"/>
  <c r="E329" i="8"/>
  <c r="L179" i="2"/>
  <c r="M177" i="2"/>
  <c r="I124" i="15"/>
  <c r="I125" i="15" s="1"/>
  <c r="T25" i="18"/>
  <c r="B122" i="13"/>
  <c r="B119" i="13"/>
  <c r="I32" i="7"/>
  <c r="J142" i="13"/>
  <c r="J148" i="13"/>
  <c r="J77" i="5"/>
  <c r="J48" i="5"/>
  <c r="J83" i="5"/>
  <c r="J26" i="7"/>
  <c r="C68" i="4"/>
  <c r="E33" i="8"/>
  <c r="H147" i="13"/>
  <c r="H150" i="13"/>
  <c r="D103" i="9"/>
  <c r="D303" i="8"/>
  <c r="E295" i="8"/>
  <c r="M240" i="15"/>
  <c r="M243" i="15"/>
  <c r="H256" i="8"/>
  <c r="D159" i="13"/>
  <c r="B36" i="6"/>
  <c r="B33" i="6"/>
  <c r="C36" i="6"/>
  <c r="C33" i="6"/>
  <c r="D268" i="5"/>
  <c r="D271" i="5"/>
  <c r="C42" i="4"/>
  <c r="C164" i="4"/>
  <c r="B105" i="3"/>
  <c r="B287" i="8"/>
  <c r="D34" i="6"/>
  <c r="D28" i="6"/>
  <c r="E270" i="5"/>
  <c r="D163" i="4"/>
  <c r="C32" i="17"/>
  <c r="AX20" i="18"/>
  <c r="H104" i="2"/>
  <c r="C176" i="8"/>
  <c r="B69" i="10"/>
  <c r="C69" i="10"/>
  <c r="A101" i="17"/>
  <c r="E122" i="9"/>
  <c r="B42" i="8"/>
  <c r="C42" i="8"/>
  <c r="C22" i="8"/>
  <c r="B183" i="8"/>
  <c r="B13" i="9"/>
  <c r="C13" i="9"/>
  <c r="D161" i="13"/>
  <c r="B86" i="5"/>
  <c r="B98" i="5"/>
  <c r="C86" i="5"/>
  <c r="B95" i="5"/>
  <c r="C98" i="5"/>
  <c r="C95" i="5"/>
  <c r="B19" i="5"/>
  <c r="B54" i="5"/>
  <c r="B51" i="5"/>
  <c r="C51" i="5"/>
  <c r="C54" i="5"/>
  <c r="D103" i="10"/>
  <c r="E299" i="8"/>
  <c r="N161" i="2"/>
  <c r="J227" i="5"/>
  <c r="J255" i="8"/>
  <c r="J190" i="15"/>
  <c r="AZ23" i="18"/>
  <c r="E263" i="5"/>
  <c r="E269" i="5"/>
  <c r="E158" i="3"/>
  <c r="E155" i="3"/>
  <c r="J49" i="5"/>
  <c r="J84" i="5"/>
  <c r="J27" i="7"/>
  <c r="J35" i="7" s="1"/>
  <c r="B18" i="4"/>
  <c r="B69" i="4"/>
  <c r="B304" i="8"/>
  <c r="B301" i="8"/>
  <c r="C304" i="8"/>
  <c r="C301" i="8"/>
  <c r="C26" i="5"/>
  <c r="B179" i="5"/>
  <c r="C15" i="7"/>
  <c r="B15" i="7"/>
  <c r="D285" i="5"/>
  <c r="D282" i="5"/>
  <c r="B152" i="8"/>
  <c r="C155" i="8"/>
  <c r="C152" i="8"/>
  <c r="B155" i="8"/>
  <c r="F130" i="15"/>
  <c r="F133" i="15"/>
  <c r="H125" i="15"/>
  <c r="D257" i="5"/>
  <c r="H257" i="5"/>
  <c r="D254" i="5"/>
  <c r="H254" i="5"/>
  <c r="G213" i="5"/>
  <c r="AR21" i="18"/>
  <c r="G113" i="15"/>
  <c r="G114" i="15" s="1"/>
  <c r="H214" i="5" s="1"/>
  <c r="H213" i="5"/>
  <c r="H241" i="8"/>
  <c r="F33" i="7"/>
  <c r="F36" i="7"/>
  <c r="C160" i="13"/>
  <c r="B151" i="13"/>
  <c r="B163" i="13"/>
  <c r="B160" i="13"/>
  <c r="C163" i="13"/>
  <c r="C151" i="13"/>
  <c r="D155" i="8"/>
  <c r="D152" i="8"/>
  <c r="E157" i="13"/>
  <c r="E133" i="13"/>
  <c r="C56" i="4"/>
  <c r="C188" i="4"/>
  <c r="C194" i="4"/>
  <c r="F157" i="3"/>
  <c r="D173" i="4"/>
  <c r="D94" i="6"/>
  <c r="F262" i="5"/>
  <c r="J90" i="15"/>
  <c r="I104" i="2"/>
  <c r="E109" i="9"/>
  <c r="M30" i="8"/>
  <c r="I11" i="10"/>
  <c r="M11" i="10" s="1"/>
  <c r="H27" i="5"/>
  <c r="D183" i="5"/>
  <c r="D16" i="7"/>
  <c r="H16" i="7" s="1"/>
  <c r="D123" i="3"/>
  <c r="B56" i="17"/>
  <c r="F252" i="5"/>
  <c r="D90" i="7" s="1"/>
  <c r="D75" i="13"/>
  <c r="C55" i="17"/>
  <c r="H224" i="15"/>
  <c r="H221" i="15"/>
  <c r="B159" i="4"/>
  <c r="A29" i="17"/>
  <c r="N20" i="18"/>
  <c r="B42" i="4"/>
  <c r="B164" i="4"/>
  <c r="F150" i="3"/>
  <c r="F156" i="3"/>
  <c r="D172" i="4"/>
  <c r="F261" i="5"/>
  <c r="D93" i="6"/>
  <c r="E255" i="5"/>
  <c r="C89" i="6"/>
  <c r="C112" i="3"/>
  <c r="B126" i="3"/>
  <c r="C126" i="3"/>
  <c r="B112" i="3"/>
  <c r="A48" i="17" s="1"/>
  <c r="C120" i="3"/>
  <c r="B288" i="5"/>
  <c r="C288" i="5"/>
  <c r="A46" i="17"/>
  <c r="B6" i="12"/>
  <c r="J81" i="5"/>
  <c r="J30" i="7"/>
  <c r="J32" i="7" s="1"/>
  <c r="B91" i="7"/>
  <c r="F91" i="7"/>
  <c r="D69" i="5"/>
  <c r="D96" i="5"/>
  <c r="B53" i="4"/>
  <c r="B12" i="4"/>
  <c r="C123" i="3"/>
  <c r="C289" i="5"/>
  <c r="B289" i="5"/>
  <c r="B7" i="12"/>
  <c r="A47" i="17"/>
  <c r="G34" i="5"/>
  <c r="G16" i="6"/>
  <c r="G40" i="8"/>
  <c r="G11" i="9"/>
  <c r="I127" i="15"/>
  <c r="AL25" i="18"/>
  <c r="L40" i="8"/>
  <c r="L11" i="9"/>
  <c r="B184" i="13"/>
  <c r="D184" i="13" s="1"/>
  <c r="B195" i="13"/>
  <c r="D195" i="13" s="1"/>
  <c r="L34" i="5"/>
  <c r="L16" i="6"/>
  <c r="B168" i="13"/>
  <c r="D168" i="13" s="1"/>
  <c r="B176" i="13"/>
  <c r="D176" i="13" s="1"/>
  <c r="H240" i="15"/>
  <c r="H243" i="15"/>
  <c r="M27" i="5"/>
  <c r="I16" i="7"/>
  <c r="M16" i="7" s="1"/>
  <c r="G149" i="3"/>
  <c r="G309" i="8"/>
  <c r="H309" i="8" s="1"/>
  <c r="G323" i="8"/>
  <c r="G180" i="15"/>
  <c r="I172" i="15"/>
  <c r="F138" i="3"/>
  <c r="E140" i="3"/>
  <c r="F251" i="5"/>
  <c r="D74" i="13"/>
  <c r="C54" i="17"/>
  <c r="G112" i="10"/>
  <c r="E116" i="13"/>
  <c r="F330" i="8"/>
  <c r="F112" i="9"/>
  <c r="F324" i="8"/>
  <c r="D112" i="13"/>
  <c r="L77" i="2"/>
  <c r="H67" i="15"/>
  <c r="X17" i="18"/>
  <c r="D120" i="3"/>
  <c r="D121" i="3" s="1"/>
  <c r="D144" i="3"/>
  <c r="D141" i="3"/>
  <c r="B57" i="17" s="1"/>
  <c r="B53" i="17"/>
  <c r="E175" i="8"/>
  <c r="E40" i="8"/>
  <c r="E11" i="9"/>
  <c r="B91" i="13"/>
  <c r="B94" i="13"/>
  <c r="H192" i="15"/>
  <c r="E114" i="9"/>
  <c r="K64" i="2"/>
  <c r="H57" i="4"/>
  <c r="H192" i="4"/>
  <c r="E187" i="4"/>
  <c r="E195" i="4" s="1"/>
  <c r="G67" i="5"/>
  <c r="G63" i="5"/>
  <c r="H63" i="5" s="1"/>
  <c r="G128" i="13"/>
  <c r="G132" i="13"/>
  <c r="G158" i="13" s="1"/>
  <c r="H158" i="13" s="1"/>
  <c r="G45" i="15"/>
  <c r="I37" i="15"/>
  <c r="D195" i="4"/>
  <c r="F187" i="4"/>
  <c r="K40" i="8"/>
  <c r="K11" i="9"/>
  <c r="M20" i="8"/>
  <c r="I40" i="8"/>
  <c r="I11" i="9"/>
  <c r="D145" i="5"/>
  <c r="D142" i="5"/>
  <c r="B193" i="4"/>
  <c r="B196" i="4"/>
  <c r="D46" i="5"/>
  <c r="D72" i="5"/>
  <c r="D90" i="5"/>
  <c r="D52" i="5"/>
  <c r="B179" i="4"/>
  <c r="B182" i="4"/>
  <c r="B105" i="13"/>
  <c r="B108" i="13"/>
  <c r="C188" i="8"/>
  <c r="C72" i="10"/>
  <c r="B72" i="10"/>
  <c r="A110" i="17"/>
  <c r="C23" i="8"/>
  <c r="C43" i="8"/>
  <c r="B187" i="8"/>
  <c r="B43" i="8"/>
  <c r="B14" i="9"/>
  <c r="C14" i="9"/>
  <c r="B121" i="4"/>
  <c r="M221" i="15"/>
  <c r="M224" i="15"/>
  <c r="C112" i="5"/>
  <c r="B112" i="5"/>
  <c r="I198" i="15"/>
  <c r="C95" i="6"/>
  <c r="I191" i="4"/>
  <c r="K76" i="5"/>
  <c r="K80" i="5"/>
  <c r="K31" i="7" s="1"/>
  <c r="K141" i="13"/>
  <c r="K145" i="13"/>
  <c r="L41" i="15"/>
  <c r="B121" i="13"/>
  <c r="H85" i="5"/>
  <c r="H82" i="5"/>
  <c r="M178" i="2"/>
  <c r="N176" i="2"/>
  <c r="J123" i="15"/>
  <c r="D25" i="18"/>
  <c r="G10" i="9"/>
  <c r="D188" i="8"/>
  <c r="D14" i="10"/>
  <c r="D302" i="8"/>
  <c r="E294" i="8"/>
  <c r="D296" i="8"/>
  <c r="D102" i="9"/>
  <c r="D104" i="9" s="1"/>
  <c r="C32" i="4"/>
  <c r="C99" i="4"/>
  <c r="C98" i="4"/>
  <c r="D131" i="4" s="1"/>
  <c r="C20" i="13"/>
  <c r="C21" i="13" s="1"/>
  <c r="F98" i="2" s="1"/>
  <c r="C17" i="13"/>
  <c r="E42" i="13"/>
  <c r="E52" i="13"/>
  <c r="E53" i="13" s="1"/>
  <c r="E76" i="3" s="1"/>
  <c r="AV16" i="18"/>
  <c r="B23" i="17"/>
  <c r="G199" i="15"/>
  <c r="H199" i="15" s="1"/>
  <c r="H191" i="15"/>
  <c r="M162" i="2"/>
  <c r="I228" i="5"/>
  <c r="I229" i="5" s="1"/>
  <c r="I256" i="8"/>
  <c r="I191" i="15"/>
  <c r="D24" i="18"/>
  <c r="H28" i="7"/>
  <c r="D36" i="7"/>
  <c r="D33" i="7"/>
  <c r="H20" i="8"/>
  <c r="D175" i="8"/>
  <c r="D40" i="8"/>
  <c r="D11" i="9"/>
  <c r="I28" i="7"/>
  <c r="I34" i="7"/>
  <c r="E179" i="5"/>
  <c r="E67" i="7" s="1"/>
  <c r="E15" i="7"/>
  <c r="D121" i="8"/>
  <c r="D186" i="4"/>
  <c r="F62" i="5"/>
  <c r="F66" i="5"/>
  <c r="F127" i="13"/>
  <c r="F131" i="13"/>
  <c r="F38" i="15"/>
  <c r="F44" i="15"/>
  <c r="G36" i="15"/>
  <c r="E135" i="13"/>
  <c r="E161" i="13" s="1"/>
  <c r="E153" i="13"/>
  <c r="E129" i="13"/>
  <c r="F331" i="8"/>
  <c r="F113" i="9"/>
  <c r="D113" i="13"/>
  <c r="E135" i="3"/>
  <c r="D143" i="3"/>
  <c r="E248" i="5"/>
  <c r="C71" i="13"/>
  <c r="B52" i="17"/>
  <c r="M89" i="2"/>
  <c r="C19" i="8"/>
  <c r="B171" i="8"/>
  <c r="B10" i="9"/>
  <c r="C10" i="9"/>
  <c r="D347" i="8"/>
  <c r="D120" i="9"/>
  <c r="J10" i="9"/>
  <c r="E298" i="8"/>
  <c r="D300" i="8"/>
  <c r="D102" i="10"/>
  <c r="D104" i="10" s="1"/>
  <c r="E22" i="8"/>
  <c r="E318" i="8"/>
  <c r="E315" i="8"/>
  <c r="D26" i="5"/>
  <c r="H50" i="5"/>
  <c r="E184" i="8"/>
  <c r="E13" i="10"/>
  <c r="F34" i="5"/>
  <c r="F182" i="5"/>
  <c r="F16" i="6"/>
  <c r="G279" i="15"/>
  <c r="G182" i="5" s="1"/>
  <c r="H326" i="8"/>
  <c r="H59" i="15"/>
  <c r="H32" i="15"/>
  <c r="H30" i="15"/>
  <c r="G153" i="3"/>
  <c r="G313" i="8"/>
  <c r="G108" i="10" s="1"/>
  <c r="G327" i="8"/>
  <c r="I176" i="15"/>
  <c r="I177" i="15" s="1"/>
  <c r="D177" i="4"/>
  <c r="D52" i="4" s="1"/>
  <c r="F266" i="5"/>
  <c r="D94" i="7"/>
  <c r="H153" i="3"/>
  <c r="C33" i="7"/>
  <c r="C36" i="7"/>
  <c r="B36" i="7"/>
  <c r="B33" i="7"/>
  <c r="I152" i="3"/>
  <c r="I312" i="8"/>
  <c r="I326" i="8"/>
  <c r="J175" i="15"/>
  <c r="G107" i="10"/>
  <c r="C91" i="13"/>
  <c r="C94" i="13"/>
  <c r="E67" i="2"/>
  <c r="B107" i="4"/>
  <c r="B106" i="4"/>
  <c r="BJ15" i="18"/>
  <c r="H30" i="8"/>
  <c r="D176" i="8"/>
  <c r="D11" i="10"/>
  <c r="H11" i="10" s="1"/>
  <c r="F310" i="8"/>
  <c r="F107" i="9"/>
  <c r="F316" i="8"/>
  <c r="G110" i="4"/>
  <c r="G109" i="4"/>
  <c r="V16" i="18"/>
  <c r="J68" i="2"/>
  <c r="G75" i="15"/>
  <c r="G68" i="15"/>
  <c r="H131" i="15"/>
  <c r="C123" i="5"/>
  <c r="B106" i="5"/>
  <c r="B125" i="5"/>
  <c r="C125" i="5"/>
  <c r="C106" i="5"/>
  <c r="C42" i="7"/>
  <c r="B42" i="7"/>
  <c r="B132" i="8"/>
  <c r="B41" i="10"/>
  <c r="C41" i="10"/>
  <c r="C132" i="8"/>
  <c r="A78" i="17"/>
  <c r="F81" i="7"/>
  <c r="F241" i="8"/>
  <c r="F81" i="10"/>
  <c r="F275" i="15"/>
  <c r="C114" i="13"/>
  <c r="C120" i="13"/>
  <c r="BB25" i="18"/>
  <c r="G128" i="15"/>
  <c r="G129" i="15" s="1"/>
  <c r="I190" i="4"/>
  <c r="K79" i="5"/>
  <c r="K75" i="5"/>
  <c r="K140" i="13"/>
  <c r="K144" i="13"/>
  <c r="K146" i="13" s="1"/>
  <c r="K42" i="15"/>
  <c r="L40" i="15"/>
  <c r="F154" i="13"/>
  <c r="F136" i="13"/>
  <c r="F162" i="13" s="1"/>
  <c r="D155" i="13"/>
  <c r="D137" i="13"/>
  <c r="D134" i="13"/>
  <c r="C72" i="4"/>
  <c r="E34" i="8"/>
  <c r="C20" i="8"/>
  <c r="C40" i="8"/>
  <c r="B40" i="8"/>
  <c r="B175" i="8"/>
  <c r="C11" i="9"/>
  <c r="B11" i="9"/>
  <c r="E73" i="15"/>
  <c r="F76" i="15" s="1"/>
  <c r="E76" i="15"/>
  <c r="F68" i="15"/>
  <c r="D94" i="5"/>
  <c r="B121" i="8"/>
  <c r="C121" i="8"/>
  <c r="H34" i="7"/>
  <c r="I82" i="5"/>
  <c r="D128" i="5"/>
  <c r="D43" i="6"/>
  <c r="D129" i="8"/>
  <c r="D42" i="9"/>
  <c r="B76" i="17"/>
  <c r="F317" i="8"/>
  <c r="F108" i="9"/>
  <c r="D106" i="5"/>
  <c r="D125" i="5"/>
  <c r="D42" i="7"/>
  <c r="D132" i="8"/>
  <c r="D41" i="10"/>
  <c r="B78" i="17"/>
  <c r="I28" i="15"/>
  <c r="I29" i="15"/>
  <c r="J59" i="15" s="1"/>
  <c r="AB15" i="18"/>
  <c r="N55" i="2"/>
  <c r="D34" i="5"/>
  <c r="D182" i="5"/>
  <c r="H20" i="5"/>
  <c r="D16" i="6"/>
  <c r="C183" i="5"/>
  <c r="C68" i="7"/>
  <c r="B68" i="7"/>
  <c r="D68" i="4"/>
  <c r="F33" i="8"/>
  <c r="B158" i="4"/>
  <c r="A28" i="17"/>
  <c r="BJ19" i="18"/>
  <c r="D43" i="7"/>
  <c r="D133" i="8"/>
  <c r="D42" i="10"/>
  <c r="B79" i="17"/>
  <c r="F181" i="15"/>
  <c r="F178" i="15"/>
  <c r="D32" i="4"/>
  <c r="D99" i="4"/>
  <c r="D98" i="4"/>
  <c r="E131" i="4" s="1"/>
  <c r="F42" i="13"/>
  <c r="F52" i="13"/>
  <c r="F53" i="13" s="1"/>
  <c r="F76" i="3" s="1"/>
  <c r="D20" i="13"/>
  <c r="D21" i="13" s="1"/>
  <c r="G98" i="2" s="1"/>
  <c r="D17" i="13"/>
  <c r="AX16" i="18"/>
  <c r="C23" i="17"/>
  <c r="C72" i="13"/>
  <c r="C78" i="13"/>
  <c r="C124" i="5"/>
  <c r="C43" i="7"/>
  <c r="B43" i="7"/>
  <c r="C133" i="8"/>
  <c r="B42" i="10"/>
  <c r="C42" i="10"/>
  <c r="B133" i="8"/>
  <c r="A79" i="17"/>
  <c r="B77" i="13"/>
  <c r="B80" i="13"/>
  <c r="B285" i="5"/>
  <c r="B282" i="5"/>
  <c r="C285" i="5"/>
  <c r="C282" i="5"/>
  <c r="D162" i="4"/>
  <c r="C31" i="17"/>
  <c r="AH20" i="18"/>
  <c r="H103" i="2"/>
  <c r="M88" i="2" s="1"/>
  <c r="C184" i="8"/>
  <c r="B71" i="10"/>
  <c r="C71" i="10"/>
  <c r="A107" i="17"/>
  <c r="G132" i="15"/>
  <c r="G204" i="15" s="1"/>
  <c r="G340" i="8" s="1"/>
  <c r="F179" i="5"/>
  <c r="F67" i="7" s="1"/>
  <c r="F15" i="7"/>
  <c r="F234" i="5"/>
  <c r="F237" i="5"/>
  <c r="H132" i="13"/>
  <c r="E34" i="5"/>
  <c r="E182" i="5"/>
  <c r="E16" i="6"/>
  <c r="G62" i="15"/>
  <c r="G60" i="15"/>
  <c r="F93" i="5"/>
  <c r="F31" i="6"/>
  <c r="C34" i="5"/>
  <c r="C20" i="5"/>
  <c r="B34" i="5"/>
  <c r="B182" i="5"/>
  <c r="C16" i="6"/>
  <c r="B16" i="6"/>
  <c r="L10" i="9"/>
  <c r="F171" i="8"/>
  <c r="F10" i="9"/>
  <c r="B13" i="4"/>
  <c r="B58" i="4"/>
  <c r="J34" i="5"/>
  <c r="J16" i="6"/>
  <c r="G257" i="8"/>
  <c r="C71" i="4"/>
  <c r="E24" i="8"/>
  <c r="E349" i="8"/>
  <c r="E346" i="8"/>
  <c r="D192" i="8"/>
  <c r="D15" i="10"/>
  <c r="B32" i="4"/>
  <c r="B99" i="4"/>
  <c r="B98" i="4"/>
  <c r="B17" i="13"/>
  <c r="D42" i="13"/>
  <c r="D52" i="13"/>
  <c r="D53" i="13" s="1"/>
  <c r="A23" i="17"/>
  <c r="AT16" i="18"/>
  <c r="B20" i="13"/>
  <c r="D119" i="5"/>
  <c r="B145" i="5"/>
  <c r="B142" i="5"/>
  <c r="C145" i="5"/>
  <c r="C142" i="5"/>
  <c r="G33" i="7"/>
  <c r="G36" i="7"/>
  <c r="D340" i="8"/>
  <c r="D341" i="8" s="1"/>
  <c r="I257" i="8"/>
  <c r="I263" i="8"/>
  <c r="C51" i="4"/>
  <c r="C174" i="4"/>
  <c r="C180" i="4"/>
  <c r="I35" i="7"/>
  <c r="D114" i="9"/>
  <c r="K34" i="5"/>
  <c r="K16" i="6"/>
  <c r="I150" i="13"/>
  <c r="I147" i="13"/>
  <c r="H124" i="15"/>
  <c r="D109" i="9"/>
  <c r="C104" i="9"/>
  <c r="B104" i="9"/>
  <c r="H107" i="10"/>
  <c r="F69" i="10"/>
  <c r="D101" i="17"/>
  <c r="C192" i="8"/>
  <c r="B73" i="10"/>
  <c r="C73" i="10"/>
  <c r="A113" i="17"/>
  <c r="D32" i="6"/>
  <c r="K10" i="9"/>
  <c r="J40" i="8"/>
  <c r="J11" i="9"/>
  <c r="G179" i="5"/>
  <c r="G67" i="7" s="1"/>
  <c r="G15" i="7"/>
  <c r="G81" i="6"/>
  <c r="G240" i="8"/>
  <c r="G81" i="9"/>
  <c r="G274" i="15"/>
  <c r="H274" i="15" s="1"/>
  <c r="I50" i="5"/>
  <c r="I85" i="5"/>
  <c r="B127" i="5"/>
  <c r="B105" i="5"/>
  <c r="C119" i="5"/>
  <c r="C127" i="5"/>
  <c r="C105" i="5"/>
  <c r="B121" i="5"/>
  <c r="B42" i="6"/>
  <c r="C121" i="5"/>
  <c r="C42" i="6"/>
  <c r="B128" i="8"/>
  <c r="B41" i="9"/>
  <c r="C41" i="9"/>
  <c r="C128" i="8"/>
  <c r="A75" i="17"/>
  <c r="F63" i="2"/>
  <c r="F102" i="2"/>
  <c r="F101" i="2"/>
  <c r="E64" i="5"/>
  <c r="E44" i="5"/>
  <c r="E52" i="5" s="1"/>
  <c r="E70" i="5"/>
  <c r="E88" i="5"/>
  <c r="E26" i="6"/>
  <c r="H203" i="15"/>
  <c r="C104" i="10"/>
  <c r="B104" i="10"/>
  <c r="H228" i="5"/>
  <c r="G229" i="5"/>
  <c r="F40" i="8"/>
  <c r="F175" i="8"/>
  <c r="F11" i="9"/>
  <c r="H58" i="15"/>
  <c r="E253" i="5"/>
  <c r="C89" i="7"/>
  <c r="C91" i="7" s="1"/>
  <c r="F113" i="10"/>
  <c r="D117" i="13"/>
  <c r="D118" i="13" s="1"/>
  <c r="D184" i="8"/>
  <c r="D13" i="10"/>
  <c r="G177" i="15"/>
  <c r="G154" i="3"/>
  <c r="H154" i="3" s="1"/>
  <c r="E176" i="4"/>
  <c r="G265" i="5"/>
  <c r="H265" i="5" s="1"/>
  <c r="E93" i="7"/>
  <c r="N130" i="2"/>
  <c r="J223" i="5"/>
  <c r="J251" i="8"/>
  <c r="F22" i="18"/>
  <c r="I103" i="2"/>
  <c r="G148" i="3"/>
  <c r="G308" i="8"/>
  <c r="H308" i="8" s="1"/>
  <c r="G339" i="8"/>
  <c r="G322" i="8"/>
  <c r="H322" i="8" s="1"/>
  <c r="G179" i="15"/>
  <c r="G173" i="15"/>
  <c r="I171" i="15"/>
  <c r="F120" i="9"/>
  <c r="F132" i="15"/>
  <c r="C121" i="13"/>
  <c r="E109" i="4"/>
  <c r="F120" i="4" s="1"/>
  <c r="E110" i="4"/>
  <c r="E121" i="4" s="1"/>
  <c r="T16" i="18"/>
  <c r="H68" i="2"/>
  <c r="E134" i="3"/>
  <c r="D42" i="8"/>
  <c r="D183" i="8"/>
  <c r="D13" i="9"/>
  <c r="F343" i="8"/>
  <c r="G314" i="8" l="1"/>
  <c r="G32" i="8" s="1"/>
  <c r="G261" i="8"/>
  <c r="H261" i="8" s="1"/>
  <c r="H260" i="8"/>
  <c r="J31" i="9"/>
  <c r="J34" i="9"/>
  <c r="M32" i="10"/>
  <c r="G31" i="9"/>
  <c r="G34" i="9"/>
  <c r="F13" i="10"/>
  <c r="H113" i="15"/>
  <c r="D95" i="6"/>
  <c r="F108" i="10"/>
  <c r="F109" i="10" s="1"/>
  <c r="G196" i="15"/>
  <c r="H195" i="15"/>
  <c r="I19" i="8"/>
  <c r="M55" i="8"/>
  <c r="M81" i="8"/>
  <c r="M78" i="8"/>
  <c r="D19" i="8"/>
  <c r="H55" i="8"/>
  <c r="K259" i="8"/>
  <c r="K194" i="15"/>
  <c r="O163" i="2"/>
  <c r="Z24" i="18"/>
  <c r="K231" i="5"/>
  <c r="H32" i="8"/>
  <c r="B183" i="13"/>
  <c r="E10" i="9"/>
  <c r="H103" i="8"/>
  <c r="I31" i="9"/>
  <c r="M26" i="9"/>
  <c r="I34" i="9"/>
  <c r="B34" i="9"/>
  <c r="B31" i="9"/>
  <c r="C31" i="9"/>
  <c r="C34" i="9"/>
  <c r="I25" i="15"/>
  <c r="I55" i="15" s="1"/>
  <c r="I26" i="15"/>
  <c r="N15" i="18"/>
  <c r="K31" i="9"/>
  <c r="K34" i="9"/>
  <c r="H26" i="9"/>
  <c r="F34" i="9"/>
  <c r="F31" i="9"/>
  <c r="H81" i="8"/>
  <c r="H78" i="8"/>
  <c r="H55" i="15"/>
  <c r="H31" i="15"/>
  <c r="H61" i="15" s="1"/>
  <c r="H128" i="15"/>
  <c r="G109" i="10"/>
  <c r="H33" i="10"/>
  <c r="D34" i="9"/>
  <c r="D31" i="9"/>
  <c r="L31" i="9"/>
  <c r="L34" i="9"/>
  <c r="E31" i="9"/>
  <c r="E34" i="9"/>
  <c r="M164" i="2"/>
  <c r="AN24" i="18"/>
  <c r="I232" i="5"/>
  <c r="I233" i="5" s="1"/>
  <c r="I234" i="5" s="1"/>
  <c r="I195" i="15"/>
  <c r="I196" i="15" s="1"/>
  <c r="I260" i="8"/>
  <c r="I261" i="8" s="1"/>
  <c r="G233" i="5"/>
  <c r="H233" i="5" s="1"/>
  <c r="H232" i="5"/>
  <c r="H32" i="10"/>
  <c r="H56" i="15"/>
  <c r="J26" i="15"/>
  <c r="N132" i="2"/>
  <c r="J224" i="5"/>
  <c r="X22" i="18"/>
  <c r="J252" i="8"/>
  <c r="G264" i="8"/>
  <c r="H264" i="8" s="1"/>
  <c r="F114" i="9"/>
  <c r="D34" i="10"/>
  <c r="H26" i="10"/>
  <c r="D31" i="10"/>
  <c r="AR15" i="18"/>
  <c r="J117" i="4"/>
  <c r="M99" i="8"/>
  <c r="I31" i="10"/>
  <c r="I34" i="10"/>
  <c r="M26" i="10"/>
  <c r="F29" i="8"/>
  <c r="F60" i="8"/>
  <c r="F63" i="8"/>
  <c r="J120" i="4"/>
  <c r="BH15" i="18"/>
  <c r="L34" i="10"/>
  <c r="L31" i="10"/>
  <c r="B104" i="8"/>
  <c r="C104" i="8"/>
  <c r="B95" i="8"/>
  <c r="C95" i="8"/>
  <c r="C107" i="8"/>
  <c r="B107" i="8"/>
  <c r="B29" i="8"/>
  <c r="B63" i="8"/>
  <c r="C60" i="8"/>
  <c r="B60" i="8"/>
  <c r="C63" i="8"/>
  <c r="D95" i="8"/>
  <c r="H91" i="8"/>
  <c r="D107" i="8"/>
  <c r="D104" i="8"/>
  <c r="H94" i="8"/>
  <c r="D60" i="8"/>
  <c r="D63" i="8"/>
  <c r="D29" i="8"/>
  <c r="H59" i="8"/>
  <c r="G34" i="10"/>
  <c r="G31" i="10"/>
  <c r="M106" i="8"/>
  <c r="J29" i="8"/>
  <c r="J63" i="8"/>
  <c r="J60" i="8"/>
  <c r="J104" i="8"/>
  <c r="J107" i="8"/>
  <c r="J95" i="8"/>
  <c r="H34" i="5"/>
  <c r="H314" i="8"/>
  <c r="F121" i="4"/>
  <c r="M11" i="9"/>
  <c r="H313" i="8"/>
  <c r="D178" i="4"/>
  <c r="L107" i="8"/>
  <c r="L95" i="8"/>
  <c r="L104" i="8"/>
  <c r="B31" i="10"/>
  <c r="C31" i="10"/>
  <c r="B34" i="10"/>
  <c r="C34" i="10"/>
  <c r="G95" i="8"/>
  <c r="G104" i="8"/>
  <c r="G107" i="8"/>
  <c r="K95" i="8"/>
  <c r="K104" i="8"/>
  <c r="K107" i="8"/>
  <c r="K34" i="10"/>
  <c r="K31" i="10"/>
  <c r="K29" i="8"/>
  <c r="K60" i="8"/>
  <c r="K63" i="8"/>
  <c r="I63" i="8"/>
  <c r="M59" i="8"/>
  <c r="I60" i="8"/>
  <c r="I29" i="8"/>
  <c r="M33" i="10"/>
  <c r="F34" i="10"/>
  <c r="F31" i="10"/>
  <c r="E31" i="10"/>
  <c r="E34" i="10"/>
  <c r="J34" i="10"/>
  <c r="J31" i="10"/>
  <c r="J71" i="15"/>
  <c r="BH17" i="18"/>
  <c r="N79" i="2"/>
  <c r="L29" i="8"/>
  <c r="L63" i="8"/>
  <c r="L60" i="8"/>
  <c r="H106" i="8"/>
  <c r="H99" i="8"/>
  <c r="G29" i="8"/>
  <c r="G60" i="8"/>
  <c r="G63" i="8"/>
  <c r="M94" i="8"/>
  <c r="I95" i="8"/>
  <c r="I104" i="8"/>
  <c r="M91" i="8"/>
  <c r="I107" i="8"/>
  <c r="F107" i="8"/>
  <c r="F104" i="8"/>
  <c r="F95" i="8"/>
  <c r="E95" i="8"/>
  <c r="E104" i="8"/>
  <c r="E107" i="8"/>
  <c r="E29" i="8"/>
  <c r="E60" i="8"/>
  <c r="E63" i="8"/>
  <c r="B96" i="6"/>
  <c r="D293" i="5"/>
  <c r="A60" i="17"/>
  <c r="G68" i="6"/>
  <c r="G121" i="9"/>
  <c r="G130" i="15"/>
  <c r="H129" i="15"/>
  <c r="G133" i="15"/>
  <c r="G150" i="3"/>
  <c r="G156" i="3"/>
  <c r="H156" i="3" s="1"/>
  <c r="E172" i="4"/>
  <c r="F172" i="4" s="1"/>
  <c r="G261" i="5"/>
  <c r="H261" i="5" s="1"/>
  <c r="E93" i="6"/>
  <c r="C114" i="8"/>
  <c r="B130" i="8"/>
  <c r="C130" i="8"/>
  <c r="B136" i="8"/>
  <c r="B114" i="8"/>
  <c r="C136" i="8"/>
  <c r="I265" i="8"/>
  <c r="I262" i="8"/>
  <c r="E184" i="5"/>
  <c r="E68" i="6"/>
  <c r="C80" i="13"/>
  <c r="C77" i="13"/>
  <c r="B41" i="4"/>
  <c r="B160" i="4"/>
  <c r="B166" i="4"/>
  <c r="D44" i="7"/>
  <c r="D151" i="13"/>
  <c r="D163" i="13"/>
  <c r="D160" i="13"/>
  <c r="G76" i="15"/>
  <c r="G73" i="15"/>
  <c r="G113" i="10"/>
  <c r="H113" i="10" s="1"/>
  <c r="E117" i="13"/>
  <c r="F117" i="13" s="1"/>
  <c r="E42" i="8"/>
  <c r="E183" i="8"/>
  <c r="E13" i="9"/>
  <c r="C68" i="9"/>
  <c r="C171" i="8"/>
  <c r="B68" i="9"/>
  <c r="A97" i="17"/>
  <c r="E134" i="13"/>
  <c r="E155" i="13"/>
  <c r="E137" i="13"/>
  <c r="E140" i="5"/>
  <c r="E280" i="5"/>
  <c r="E47" i="7"/>
  <c r="E150" i="8"/>
  <c r="E47" i="10"/>
  <c r="D103" i="13"/>
  <c r="D89" i="13"/>
  <c r="J191" i="4"/>
  <c r="L76" i="5"/>
  <c r="L80" i="5"/>
  <c r="L141" i="13"/>
  <c r="L145" i="13"/>
  <c r="M145" i="13" s="1"/>
  <c r="C41" i="15"/>
  <c r="H41" i="15"/>
  <c r="M41" i="15"/>
  <c r="G187" i="4"/>
  <c r="I63" i="5"/>
  <c r="I67" i="5"/>
  <c r="I128" i="13"/>
  <c r="I132" i="13"/>
  <c r="I45" i="15"/>
  <c r="J37" i="15"/>
  <c r="F253" i="5"/>
  <c r="D89" i="7"/>
  <c r="D91" i="7" s="1"/>
  <c r="H148" i="3"/>
  <c r="F109" i="4"/>
  <c r="B185" i="8"/>
  <c r="A108" i="17" s="1"/>
  <c r="C185" i="8"/>
  <c r="C183" i="8"/>
  <c r="B71" i="9"/>
  <c r="C71" i="9"/>
  <c r="A106" i="17"/>
  <c r="J34" i="7"/>
  <c r="J28" i="7"/>
  <c r="I81" i="6"/>
  <c r="I240" i="8"/>
  <c r="I81" i="9"/>
  <c r="I274" i="15"/>
  <c r="I213" i="5"/>
  <c r="I113" i="15"/>
  <c r="AT21" i="18"/>
  <c r="M16" i="6"/>
  <c r="E98" i="4"/>
  <c r="G131" i="4" s="1"/>
  <c r="E32" i="4"/>
  <c r="E99" i="4"/>
  <c r="G42" i="13"/>
  <c r="G52" i="13"/>
  <c r="E20" i="13"/>
  <c r="E21" i="13" s="1"/>
  <c r="H98" i="2" s="1"/>
  <c r="D23" i="17"/>
  <c r="E17" i="13"/>
  <c r="F17" i="13" s="1"/>
  <c r="AZ16" i="18"/>
  <c r="O130" i="2"/>
  <c r="K223" i="5"/>
  <c r="K251" i="8"/>
  <c r="H22" i="18"/>
  <c r="P130" i="2"/>
  <c r="F99" i="4"/>
  <c r="C19" i="4"/>
  <c r="C73" i="4"/>
  <c r="G205" i="15"/>
  <c r="F140" i="5"/>
  <c r="F280" i="5"/>
  <c r="F47" i="7"/>
  <c r="F150" i="8"/>
  <c r="F47" i="10"/>
  <c r="E103" i="13"/>
  <c r="E89" i="13"/>
  <c r="E132" i="4"/>
  <c r="C24" i="17"/>
  <c r="H16" i="6"/>
  <c r="D137" i="8"/>
  <c r="L64" i="2"/>
  <c r="K81" i="5"/>
  <c r="K30" i="7"/>
  <c r="K32" i="7" s="1"/>
  <c r="B44" i="7"/>
  <c r="C44" i="7"/>
  <c r="I112" i="10"/>
  <c r="G116" i="13"/>
  <c r="G176" i="4"/>
  <c r="I265" i="5"/>
  <c r="G93" i="7"/>
  <c r="G344" i="8"/>
  <c r="G348" i="8" s="1"/>
  <c r="J29" i="15"/>
  <c r="E71" i="10"/>
  <c r="C107" i="17"/>
  <c r="F73" i="15"/>
  <c r="E256" i="5"/>
  <c r="C90" i="6"/>
  <c r="G63" i="2"/>
  <c r="G102" i="2"/>
  <c r="G101" i="2"/>
  <c r="F64" i="5"/>
  <c r="F44" i="5"/>
  <c r="F52" i="5" s="1"/>
  <c r="F88" i="5"/>
  <c r="F70" i="5"/>
  <c r="F26" i="6"/>
  <c r="I36" i="7"/>
  <c r="I33" i="7"/>
  <c r="G214" i="5"/>
  <c r="G276" i="15" s="1"/>
  <c r="G242" i="8"/>
  <c r="I199" i="15"/>
  <c r="E43" i="13"/>
  <c r="E62" i="13"/>
  <c r="D304" i="8"/>
  <c r="D301" i="8"/>
  <c r="K191" i="4"/>
  <c r="G93" i="5"/>
  <c r="H93" i="5" s="1"/>
  <c r="G31" i="6"/>
  <c r="H31" i="6" s="1"/>
  <c r="G114" i="10"/>
  <c r="H112" i="10"/>
  <c r="C56" i="17"/>
  <c r="G331" i="8"/>
  <c r="H331" i="8" s="1"/>
  <c r="G113" i="9"/>
  <c r="H113" i="9" s="1"/>
  <c r="E113" i="13"/>
  <c r="E121" i="13" s="1"/>
  <c r="H323" i="8"/>
  <c r="G175" i="8"/>
  <c r="C7" i="12"/>
  <c r="A122" i="17"/>
  <c r="F158" i="3"/>
  <c r="F155" i="3"/>
  <c r="B167" i="4"/>
  <c r="F114" i="10"/>
  <c r="H114" i="10" s="1"/>
  <c r="H108" i="10"/>
  <c r="F139" i="3"/>
  <c r="D68" i="7"/>
  <c r="E159" i="13"/>
  <c r="J198" i="15"/>
  <c r="E103" i="10"/>
  <c r="F299" i="8"/>
  <c r="C19" i="5"/>
  <c r="B33" i="5"/>
  <c r="C33" i="5"/>
  <c r="B178" i="5"/>
  <c r="B15" i="6"/>
  <c r="C15" i="6"/>
  <c r="D33" i="6"/>
  <c r="D36" i="6"/>
  <c r="B33" i="17"/>
  <c r="C91" i="15"/>
  <c r="J82" i="5"/>
  <c r="J150" i="13"/>
  <c r="J147" i="13"/>
  <c r="N177" i="2"/>
  <c r="M179" i="2"/>
  <c r="J124" i="15"/>
  <c r="J125" i="15" s="1"/>
  <c r="V25" i="18"/>
  <c r="F267" i="5"/>
  <c r="D189" i="8"/>
  <c r="D72" i="9"/>
  <c r="B109" i="17"/>
  <c r="G178" i="15"/>
  <c r="G181" i="15"/>
  <c r="C158" i="4"/>
  <c r="BL19" i="18"/>
  <c r="B28" i="17"/>
  <c r="C126" i="5"/>
  <c r="B129" i="5"/>
  <c r="B126" i="5"/>
  <c r="C129" i="5"/>
  <c r="J190" i="4"/>
  <c r="L75" i="5"/>
  <c r="M75" i="5" s="1"/>
  <c r="L79" i="5"/>
  <c r="L140" i="13"/>
  <c r="L144" i="13"/>
  <c r="H40" i="15"/>
  <c r="M40" i="15"/>
  <c r="C42" i="15"/>
  <c r="C40" i="15"/>
  <c r="M42" i="15"/>
  <c r="H42" i="15"/>
  <c r="L42" i="15"/>
  <c r="B115" i="8"/>
  <c r="B134" i="8"/>
  <c r="C115" i="8"/>
  <c r="C134" i="8"/>
  <c r="F22" i="8"/>
  <c r="F318" i="8"/>
  <c r="F315" i="8"/>
  <c r="B31" i="4"/>
  <c r="B96" i="4"/>
  <c r="B95" i="4"/>
  <c r="B7" i="13"/>
  <c r="D39" i="13"/>
  <c r="D49" i="13"/>
  <c r="A21" i="17"/>
  <c r="B10" i="13"/>
  <c r="AD16" i="18"/>
  <c r="J152" i="3"/>
  <c r="J326" i="8"/>
  <c r="J312" i="8"/>
  <c r="K175" i="15"/>
  <c r="E102" i="10"/>
  <c r="E104" i="10" s="1"/>
  <c r="F298" i="8"/>
  <c r="E300" i="8"/>
  <c r="C79" i="13"/>
  <c r="F46" i="15"/>
  <c r="F43" i="15"/>
  <c r="G45" i="5"/>
  <c r="G71" i="5"/>
  <c r="G97" i="5" s="1"/>
  <c r="H97" i="5" s="1"/>
  <c r="G89" i="5"/>
  <c r="H89" i="5" s="1"/>
  <c r="G27" i="6"/>
  <c r="M77" i="2"/>
  <c r="I67" i="15"/>
  <c r="Z17" i="18"/>
  <c r="G157" i="3"/>
  <c r="H157" i="3" s="1"/>
  <c r="E173" i="4"/>
  <c r="G262" i="5"/>
  <c r="E94" i="6"/>
  <c r="H149" i="3"/>
  <c r="C91" i="6"/>
  <c r="B91" i="15"/>
  <c r="A33" i="17"/>
  <c r="D181" i="4"/>
  <c r="O161" i="2"/>
  <c r="K227" i="5"/>
  <c r="K255" i="8"/>
  <c r="K190" i="15"/>
  <c r="BB23" i="18"/>
  <c r="P161" i="2"/>
  <c r="C18" i="4"/>
  <c r="C69" i="4"/>
  <c r="D185" i="8"/>
  <c r="D71" i="9"/>
  <c r="B106" i="17"/>
  <c r="F177" i="8"/>
  <c r="D102" i="17" s="1"/>
  <c r="F69" i="9"/>
  <c r="D100" i="17"/>
  <c r="E69" i="5"/>
  <c r="E96" i="5"/>
  <c r="D348" i="8"/>
  <c r="D121" i="9"/>
  <c r="D121" i="5"/>
  <c r="D127" i="5"/>
  <c r="D42" i="6"/>
  <c r="D105" i="5"/>
  <c r="D128" i="8"/>
  <c r="D41" i="9"/>
  <c r="B75" i="17"/>
  <c r="F71" i="10"/>
  <c r="D107" i="17"/>
  <c r="F204" i="15"/>
  <c r="H132" i="15"/>
  <c r="I148" i="3"/>
  <c r="I308" i="8"/>
  <c r="I322" i="8"/>
  <c r="I173" i="15"/>
  <c r="I179" i="15"/>
  <c r="J171" i="15"/>
  <c r="G347" i="8"/>
  <c r="G120" i="9"/>
  <c r="G341" i="8"/>
  <c r="F93" i="7"/>
  <c r="F67" i="2"/>
  <c r="C106" i="4"/>
  <c r="C112" i="4" s="1"/>
  <c r="C123" i="4" s="1"/>
  <c r="C107" i="4"/>
  <c r="BL15" i="18"/>
  <c r="I26" i="5"/>
  <c r="D95" i="7"/>
  <c r="B21" i="13"/>
  <c r="F20" i="13"/>
  <c r="D62" i="13"/>
  <c r="D43" i="13"/>
  <c r="D63" i="13" s="1"/>
  <c r="F32" i="4"/>
  <c r="C132" i="4"/>
  <c r="K132" i="4"/>
  <c r="A24" i="17"/>
  <c r="D73" i="10"/>
  <c r="B113" i="17"/>
  <c r="H257" i="8"/>
  <c r="F68" i="9"/>
  <c r="D97" i="17"/>
  <c r="M79" i="5"/>
  <c r="D42" i="4"/>
  <c r="D164" i="4"/>
  <c r="F43" i="13"/>
  <c r="F62" i="13"/>
  <c r="D43" i="10"/>
  <c r="B177" i="8"/>
  <c r="A102" i="17" s="1"/>
  <c r="C177" i="8"/>
  <c r="B69" i="9"/>
  <c r="C69" i="9"/>
  <c r="C175" i="8"/>
  <c r="A100" i="17"/>
  <c r="E192" i="8"/>
  <c r="E15" i="10"/>
  <c r="I57" i="4"/>
  <c r="I192" i="4"/>
  <c r="K190" i="4"/>
  <c r="C119" i="13"/>
  <c r="C122" i="13"/>
  <c r="B28" i="5"/>
  <c r="B31" i="8"/>
  <c r="A80" i="17"/>
  <c r="G121" i="4"/>
  <c r="D69" i="10"/>
  <c r="B101" i="17"/>
  <c r="B112" i="4"/>
  <c r="H60" i="15"/>
  <c r="H62" i="15"/>
  <c r="I279" i="15"/>
  <c r="H279" i="15"/>
  <c r="G183" i="5"/>
  <c r="G184" i="5" s="1"/>
  <c r="G176" i="8"/>
  <c r="H176" i="8" s="1"/>
  <c r="G172" i="8"/>
  <c r="F184" i="5"/>
  <c r="F68" i="6"/>
  <c r="F133" i="13"/>
  <c r="F159" i="13" s="1"/>
  <c r="F157" i="13"/>
  <c r="D56" i="4"/>
  <c r="D188" i="4"/>
  <c r="D194" i="4"/>
  <c r="H11" i="9"/>
  <c r="H36" i="7"/>
  <c r="H33" i="7"/>
  <c r="I264" i="8"/>
  <c r="C18" i="13"/>
  <c r="C23" i="13"/>
  <c r="D132" i="4"/>
  <c r="B24" i="17"/>
  <c r="E102" i="9"/>
  <c r="E302" i="8"/>
  <c r="F294" i="8"/>
  <c r="E296" i="8"/>
  <c r="G171" i="8"/>
  <c r="O176" i="2"/>
  <c r="N178" i="2"/>
  <c r="F25" i="18"/>
  <c r="K123" i="15"/>
  <c r="K149" i="13"/>
  <c r="I192" i="15"/>
  <c r="F110" i="4"/>
  <c r="M40" i="8"/>
  <c r="H75" i="15"/>
  <c r="H68" i="15"/>
  <c r="D114" i="13"/>
  <c r="D120" i="13"/>
  <c r="G138" i="3"/>
  <c r="F140" i="3"/>
  <c r="G251" i="5"/>
  <c r="E74" i="13"/>
  <c r="D54" i="17"/>
  <c r="D95" i="5"/>
  <c r="D98" i="5"/>
  <c r="D86" i="5"/>
  <c r="B290" i="5"/>
  <c r="C290" i="5"/>
  <c r="E249" i="5"/>
  <c r="F269" i="5"/>
  <c r="F263" i="5"/>
  <c r="F270" i="5"/>
  <c r="J263" i="8"/>
  <c r="H71" i="5"/>
  <c r="E188" i="8"/>
  <c r="E14" i="10"/>
  <c r="M34" i="5"/>
  <c r="F35" i="6"/>
  <c r="H67" i="5"/>
  <c r="H242" i="8"/>
  <c r="H276" i="15"/>
  <c r="F134" i="3"/>
  <c r="E136" i="3"/>
  <c r="E142" i="3"/>
  <c r="F247" i="5"/>
  <c r="D70" i="13"/>
  <c r="C51" i="17"/>
  <c r="F176" i="4"/>
  <c r="B21" i="5"/>
  <c r="B9" i="5" s="1"/>
  <c r="C107" i="5"/>
  <c r="B21" i="8"/>
  <c r="B107" i="5"/>
  <c r="A81" i="17" s="1"/>
  <c r="A77" i="17"/>
  <c r="C179" i="4"/>
  <c r="C182" i="4"/>
  <c r="F98" i="4"/>
  <c r="K131" i="4"/>
  <c r="C131" i="4"/>
  <c r="E191" i="8"/>
  <c r="E15" i="9"/>
  <c r="E44" i="8"/>
  <c r="B184" i="5"/>
  <c r="C184" i="5"/>
  <c r="C182" i="5"/>
  <c r="C68" i="6"/>
  <c r="B68" i="6"/>
  <c r="D149" i="4"/>
  <c r="C41" i="17"/>
  <c r="AX19" i="18"/>
  <c r="I58" i="15"/>
  <c r="J28" i="15"/>
  <c r="J58" i="15"/>
  <c r="K48" i="5"/>
  <c r="K77" i="5"/>
  <c r="K83" i="5"/>
  <c r="K26" i="7"/>
  <c r="I107" i="10"/>
  <c r="B71" i="4"/>
  <c r="D24" i="8"/>
  <c r="D346" i="8"/>
  <c r="D349" i="8"/>
  <c r="D121" i="13"/>
  <c r="F68" i="5"/>
  <c r="F94" i="5" s="1"/>
  <c r="F92" i="5"/>
  <c r="F30" i="6"/>
  <c r="H175" i="8"/>
  <c r="D177" i="8"/>
  <c r="D69" i="9"/>
  <c r="B100" i="17"/>
  <c r="N162" i="2"/>
  <c r="J228" i="5"/>
  <c r="J256" i="8"/>
  <c r="J191" i="15"/>
  <c r="F24" i="18"/>
  <c r="K49" i="5"/>
  <c r="K84" i="5"/>
  <c r="K27" i="7"/>
  <c r="M76" i="5"/>
  <c r="E177" i="8"/>
  <c r="C102" i="17" s="1"/>
  <c r="E69" i="9"/>
  <c r="C100" i="17"/>
  <c r="D112" i="3"/>
  <c r="B48" i="17" s="1"/>
  <c r="D126" i="3"/>
  <c r="D288" i="5"/>
  <c r="D6" i="12"/>
  <c r="B46" i="17"/>
  <c r="E118" i="13"/>
  <c r="F118" i="13" s="1"/>
  <c r="F116" i="13"/>
  <c r="E68" i="9"/>
  <c r="C97" i="17"/>
  <c r="C13" i="4"/>
  <c r="C58" i="4"/>
  <c r="E103" i="9"/>
  <c r="E303" i="8"/>
  <c r="F295" i="8"/>
  <c r="G330" i="8"/>
  <c r="H330" i="8" s="1"/>
  <c r="G112" i="9"/>
  <c r="G324" i="8"/>
  <c r="E112" i="13"/>
  <c r="F112" i="13" s="1"/>
  <c r="D71" i="10"/>
  <c r="B107" i="17"/>
  <c r="C159" i="4"/>
  <c r="C167" i="4" s="1"/>
  <c r="C94" i="15" s="1"/>
  <c r="B29" i="17"/>
  <c r="P20" i="18"/>
  <c r="C12" i="4"/>
  <c r="C53" i="4"/>
  <c r="F120" i="10"/>
  <c r="H343" i="8"/>
  <c r="F347" i="8"/>
  <c r="H347" i="8" s="1"/>
  <c r="G316" i="8"/>
  <c r="H316" i="8" s="1"/>
  <c r="G310" i="8"/>
  <c r="H310" i="8" s="1"/>
  <c r="G107" i="9"/>
  <c r="H327" i="8"/>
  <c r="G237" i="5"/>
  <c r="G234" i="5"/>
  <c r="H234" i="5" s="1"/>
  <c r="E28" i="6"/>
  <c r="E34" i="6"/>
  <c r="E46" i="5"/>
  <c r="E72" i="5"/>
  <c r="E90" i="5"/>
  <c r="B43" i="9"/>
  <c r="C43" i="9"/>
  <c r="C44" i="6"/>
  <c r="B44" i="6"/>
  <c r="B23" i="13"/>
  <c r="B18" i="13"/>
  <c r="I68" i="2"/>
  <c r="H229" i="5"/>
  <c r="E162" i="4"/>
  <c r="D31" i="17"/>
  <c r="AJ20" i="18"/>
  <c r="J89" i="15"/>
  <c r="J103" i="2"/>
  <c r="D18" i="13"/>
  <c r="D23" i="13"/>
  <c r="F188" i="8"/>
  <c r="F14" i="10"/>
  <c r="H182" i="5"/>
  <c r="D184" i="5"/>
  <c r="D68" i="6"/>
  <c r="I59" i="15"/>
  <c r="I30" i="15"/>
  <c r="I32" i="15"/>
  <c r="D115" i="8"/>
  <c r="D134" i="8"/>
  <c r="D28" i="5"/>
  <c r="D31" i="8"/>
  <c r="B80" i="17"/>
  <c r="K148" i="13"/>
  <c r="K142" i="13"/>
  <c r="B43" i="10"/>
  <c r="C43" i="10"/>
  <c r="G32" i="4"/>
  <c r="G99" i="4"/>
  <c r="G98" i="4"/>
  <c r="G20" i="13"/>
  <c r="G17" i="13"/>
  <c r="I42" i="13"/>
  <c r="I52" i="13"/>
  <c r="I53" i="13" s="1"/>
  <c r="I76" i="3" s="1"/>
  <c r="E23" i="17"/>
  <c r="BB16" i="18"/>
  <c r="F109" i="9"/>
  <c r="H107" i="9"/>
  <c r="B113" i="4"/>
  <c r="B118" i="4"/>
  <c r="B111" i="4"/>
  <c r="G184" i="8"/>
  <c r="G13" i="10"/>
  <c r="H13" i="10" s="1"/>
  <c r="I153" i="3"/>
  <c r="I154" i="3" s="1"/>
  <c r="I327" i="8"/>
  <c r="I328" i="8" s="1"/>
  <c r="I313" i="8"/>
  <c r="J176" i="15"/>
  <c r="E177" i="4"/>
  <c r="E178" i="4" s="1"/>
  <c r="E94" i="7"/>
  <c r="F94" i="7" s="1"/>
  <c r="G266" i="5"/>
  <c r="G267" i="5" s="1"/>
  <c r="H26" i="5"/>
  <c r="D179" i="5"/>
  <c r="D15" i="7"/>
  <c r="H15" i="7" s="1"/>
  <c r="H339" i="8"/>
  <c r="E143" i="3"/>
  <c r="F135" i="3"/>
  <c r="F248" i="5"/>
  <c r="D71" i="13"/>
  <c r="D79" i="13" s="1"/>
  <c r="C52" i="17"/>
  <c r="G62" i="5"/>
  <c r="G66" i="5"/>
  <c r="H66" i="5" s="1"/>
  <c r="E186" i="4"/>
  <c r="F186" i="4" s="1"/>
  <c r="G131" i="13"/>
  <c r="H131" i="13" s="1"/>
  <c r="G38" i="15"/>
  <c r="G127" i="13"/>
  <c r="G44" i="15"/>
  <c r="I36" i="15"/>
  <c r="F129" i="13"/>
  <c r="F153" i="13"/>
  <c r="F135" i="13"/>
  <c r="F161" i="13" s="1"/>
  <c r="H127" i="13"/>
  <c r="H40" i="8"/>
  <c r="C149" i="4"/>
  <c r="B41" i="17"/>
  <c r="AV19" i="18"/>
  <c r="D72" i="10"/>
  <c r="B110" i="17"/>
  <c r="J127" i="15"/>
  <c r="AN25" i="18"/>
  <c r="H112" i="9"/>
  <c r="B189" i="8"/>
  <c r="A111" i="17" s="1"/>
  <c r="C189" i="8"/>
  <c r="C72" i="9"/>
  <c r="C187" i="8"/>
  <c r="B72" i="9"/>
  <c r="A109" i="17"/>
  <c r="D51" i="5"/>
  <c r="D19" i="5"/>
  <c r="D54" i="5"/>
  <c r="F195" i="4"/>
  <c r="G136" i="13"/>
  <c r="G162" i="13" s="1"/>
  <c r="H162" i="13" s="1"/>
  <c r="G154" i="13"/>
  <c r="H154" i="13" s="1"/>
  <c r="H109" i="4"/>
  <c r="H110" i="4"/>
  <c r="H121" i="4" s="1"/>
  <c r="X16" i="18"/>
  <c r="K68" i="2"/>
  <c r="D67" i="4"/>
  <c r="F332" i="8"/>
  <c r="F23" i="8"/>
  <c r="F329" i="8"/>
  <c r="G328" i="8"/>
  <c r="D76" i="13"/>
  <c r="F74" i="13"/>
  <c r="I149" i="3"/>
  <c r="I323" i="8"/>
  <c r="I309" i="8"/>
  <c r="I180" i="15"/>
  <c r="J172" i="15"/>
  <c r="G317" i="8"/>
  <c r="H317" i="8" s="1"/>
  <c r="G108" i="9"/>
  <c r="H108" i="9" s="1"/>
  <c r="B8" i="12"/>
  <c r="A123" i="17" s="1"/>
  <c r="C8" i="12"/>
  <c r="C6" i="12"/>
  <c r="A121" i="17"/>
  <c r="D51" i="4"/>
  <c r="D174" i="4"/>
  <c r="D180" i="4"/>
  <c r="D289" i="5"/>
  <c r="D7" i="12"/>
  <c r="B122" i="17" s="1"/>
  <c r="B47" i="17"/>
  <c r="F94" i="6"/>
  <c r="C193" i="4"/>
  <c r="C196" i="4"/>
  <c r="G81" i="7"/>
  <c r="G241" i="8"/>
  <c r="G81" i="10"/>
  <c r="G275" i="15"/>
  <c r="H275" i="15" s="1"/>
  <c r="H133" i="15"/>
  <c r="H130" i="15"/>
  <c r="C179" i="5"/>
  <c r="B67" i="7"/>
  <c r="C67" i="7"/>
  <c r="I131" i="15"/>
  <c r="E268" i="5"/>
  <c r="E271" i="5"/>
  <c r="J229" i="5"/>
  <c r="J235" i="5"/>
  <c r="E163" i="4"/>
  <c r="F163" i="4" s="1"/>
  <c r="D32" i="17"/>
  <c r="AZ20" i="18"/>
  <c r="J104" i="2"/>
  <c r="J50" i="5"/>
  <c r="J26" i="5" s="1"/>
  <c r="J85" i="5"/>
  <c r="I128" i="15"/>
  <c r="BD25" i="18"/>
  <c r="E43" i="8"/>
  <c r="E187" i="8"/>
  <c r="E14" i="9"/>
  <c r="I114" i="15"/>
  <c r="N121" i="2"/>
  <c r="M122" i="2"/>
  <c r="J212" i="5"/>
  <c r="J112" i="15"/>
  <c r="AD21" i="18"/>
  <c r="D124" i="3"/>
  <c r="D114" i="3" s="1"/>
  <c r="C137" i="8"/>
  <c r="B137" i="8"/>
  <c r="B193" i="8"/>
  <c r="A114" i="17" s="1"/>
  <c r="C193" i="8"/>
  <c r="B73" i="9"/>
  <c r="C73" i="9"/>
  <c r="C191" i="8"/>
  <c r="A112" i="17"/>
  <c r="N77" i="2"/>
  <c r="H128" i="13"/>
  <c r="H114" i="15"/>
  <c r="O132" i="2" l="1"/>
  <c r="K252" i="8"/>
  <c r="K224" i="5"/>
  <c r="Z22" i="18"/>
  <c r="I236" i="5"/>
  <c r="G262" i="8"/>
  <c r="I237" i="5"/>
  <c r="J25" i="15"/>
  <c r="H196" i="15"/>
  <c r="G197" i="15"/>
  <c r="G200" i="15"/>
  <c r="F178" i="4"/>
  <c r="G265" i="8"/>
  <c r="J260" i="8"/>
  <c r="J261" i="8" s="1"/>
  <c r="J195" i="15"/>
  <c r="J196" i="15" s="1"/>
  <c r="J200" i="15" s="1"/>
  <c r="J232" i="5"/>
  <c r="J233" i="5" s="1"/>
  <c r="N164" i="2"/>
  <c r="AP24" i="18"/>
  <c r="L259" i="8"/>
  <c r="M259" i="8" s="1"/>
  <c r="L194" i="15"/>
  <c r="M194" i="15" s="1"/>
  <c r="L231" i="5"/>
  <c r="M231" i="5" s="1"/>
  <c r="AB24" i="18"/>
  <c r="P163" i="2"/>
  <c r="H109" i="10"/>
  <c r="H68" i="6"/>
  <c r="F121" i="13"/>
  <c r="I31" i="15"/>
  <c r="I61" i="15" s="1"/>
  <c r="H34" i="9"/>
  <c r="H31" i="9"/>
  <c r="J56" i="15"/>
  <c r="I56" i="15"/>
  <c r="M34" i="9"/>
  <c r="M31" i="9"/>
  <c r="D171" i="8"/>
  <c r="D10" i="9"/>
  <c r="H10" i="9" s="1"/>
  <c r="H19" i="8"/>
  <c r="M19" i="8"/>
  <c r="I10" i="9"/>
  <c r="M10" i="9" s="1"/>
  <c r="J55" i="15"/>
  <c r="E181" i="4"/>
  <c r="F103" i="13"/>
  <c r="E10" i="10"/>
  <c r="E39" i="8"/>
  <c r="E172" i="8"/>
  <c r="M107" i="8"/>
  <c r="M95" i="8"/>
  <c r="M104" i="8"/>
  <c r="G10" i="10"/>
  <c r="G39" i="8"/>
  <c r="K71" i="15"/>
  <c r="J72" i="15"/>
  <c r="K72" i="15" s="1"/>
  <c r="I10" i="10"/>
  <c r="I39" i="8"/>
  <c r="M29" i="8"/>
  <c r="K10" i="10"/>
  <c r="K39" i="8"/>
  <c r="J10" i="10"/>
  <c r="J39" i="8"/>
  <c r="H95" i="8"/>
  <c r="H104" i="8"/>
  <c r="H107" i="8"/>
  <c r="F172" i="8"/>
  <c r="F10" i="10"/>
  <c r="F39" i="8"/>
  <c r="E52" i="4"/>
  <c r="F52" i="4" s="1"/>
  <c r="J192" i="15"/>
  <c r="H237" i="5"/>
  <c r="F113" i="13"/>
  <c r="L10" i="10"/>
  <c r="C194" i="13"/>
  <c r="D194" i="13" s="1"/>
  <c r="C183" i="13"/>
  <c r="D183" i="13" s="1"/>
  <c r="L39" i="8"/>
  <c r="M63" i="8"/>
  <c r="M60" i="8"/>
  <c r="D39" i="8"/>
  <c r="H39" i="8" s="1"/>
  <c r="H29" i="8"/>
  <c r="D10" i="10"/>
  <c r="D172" i="8"/>
  <c r="H63" i="8"/>
  <c r="H60" i="8"/>
  <c r="C29" i="8"/>
  <c r="B10" i="10"/>
  <c r="B172" i="8"/>
  <c r="C10" i="10"/>
  <c r="C39" i="8"/>
  <c r="B39" i="8"/>
  <c r="M31" i="10"/>
  <c r="M34" i="10"/>
  <c r="H34" i="10"/>
  <c r="H31" i="10"/>
  <c r="A62" i="17"/>
  <c r="G68" i="4"/>
  <c r="I33" i="8"/>
  <c r="G46" i="15"/>
  <c r="G43" i="15"/>
  <c r="G162" i="4"/>
  <c r="E31" i="17"/>
  <c r="AL20" i="18"/>
  <c r="K103" i="2"/>
  <c r="D191" i="8"/>
  <c r="D44" i="8"/>
  <c r="D15" i="9"/>
  <c r="I112" i="9"/>
  <c r="I324" i="8"/>
  <c r="I330" i="8"/>
  <c r="G112" i="13"/>
  <c r="G53" i="5"/>
  <c r="H53" i="5" s="1"/>
  <c r="H45" i="5"/>
  <c r="O121" i="2"/>
  <c r="N122" i="2"/>
  <c r="K212" i="5"/>
  <c r="K112" i="15"/>
  <c r="AF21" i="18"/>
  <c r="M81" i="6"/>
  <c r="M81" i="9"/>
  <c r="M212" i="5"/>
  <c r="M240" i="8"/>
  <c r="J15" i="7"/>
  <c r="G163" i="4"/>
  <c r="E32" i="17"/>
  <c r="BB20" i="18"/>
  <c r="K104" i="2"/>
  <c r="I203" i="15"/>
  <c r="G129" i="13"/>
  <c r="G153" i="13"/>
  <c r="H153" i="13" s="1"/>
  <c r="G135" i="13"/>
  <c r="G161" i="13" s="1"/>
  <c r="H161" i="13" s="1"/>
  <c r="G68" i="5"/>
  <c r="G92" i="5"/>
  <c r="H92" i="5" s="1"/>
  <c r="G30" i="6"/>
  <c r="G32" i="6" s="1"/>
  <c r="F256" i="5"/>
  <c r="D90" i="6"/>
  <c r="I108" i="10"/>
  <c r="I109" i="10" s="1"/>
  <c r="G71" i="10"/>
  <c r="E107" i="17"/>
  <c r="G18" i="13"/>
  <c r="G23" i="13"/>
  <c r="H132" i="4"/>
  <c r="E24" i="17"/>
  <c r="D180" i="8"/>
  <c r="D12" i="10"/>
  <c r="G97" i="2"/>
  <c r="D24" i="13"/>
  <c r="D22" i="13"/>
  <c r="G109" i="9"/>
  <c r="H109" i="9" s="1"/>
  <c r="E67" i="4"/>
  <c r="G23" i="8"/>
  <c r="H23" i="8" s="1"/>
  <c r="G329" i="8"/>
  <c r="H329" i="8" s="1"/>
  <c r="G332" i="8"/>
  <c r="H324" i="8"/>
  <c r="I132" i="15"/>
  <c r="D8" i="12"/>
  <c r="B123" i="17" s="1"/>
  <c r="B121" i="17"/>
  <c r="K35" i="7"/>
  <c r="F32" i="6"/>
  <c r="H32" i="6" s="1"/>
  <c r="H30" i="6"/>
  <c r="B19" i="4"/>
  <c r="B73" i="4"/>
  <c r="I314" i="8"/>
  <c r="B35" i="5"/>
  <c r="C35" i="5"/>
  <c r="C21" i="5"/>
  <c r="B186" i="5"/>
  <c r="B17" i="6"/>
  <c r="C8" i="6" s="1"/>
  <c r="C17" i="6"/>
  <c r="I138" i="3"/>
  <c r="H138" i="3"/>
  <c r="I251" i="5"/>
  <c r="G74" i="13"/>
  <c r="E54" i="17"/>
  <c r="G173" i="8"/>
  <c r="E99" i="17" s="1"/>
  <c r="G68" i="9"/>
  <c r="E97" i="17"/>
  <c r="G68" i="10"/>
  <c r="E98" i="17"/>
  <c r="I171" i="8"/>
  <c r="I183" i="5"/>
  <c r="I182" i="5"/>
  <c r="I176" i="8"/>
  <c r="I175" i="8"/>
  <c r="I172" i="8"/>
  <c r="C28" i="5"/>
  <c r="B187" i="5"/>
  <c r="B17" i="7"/>
  <c r="C17" i="7"/>
  <c r="C10" i="5"/>
  <c r="B10" i="5"/>
  <c r="A16" i="17" s="1"/>
  <c r="C30" i="5"/>
  <c r="B30" i="5"/>
  <c r="H262" i="8"/>
  <c r="H265" i="8"/>
  <c r="C111" i="4"/>
  <c r="C113" i="4"/>
  <c r="C118" i="4"/>
  <c r="E95" i="7"/>
  <c r="F95" i="7" s="1"/>
  <c r="J148" i="3"/>
  <c r="J322" i="8"/>
  <c r="J308" i="8"/>
  <c r="J173" i="15"/>
  <c r="J179" i="15"/>
  <c r="K171" i="15"/>
  <c r="F340" i="8"/>
  <c r="F344" i="8"/>
  <c r="F205" i="15"/>
  <c r="H205" i="15" s="1"/>
  <c r="H204" i="15"/>
  <c r="D44" i="6"/>
  <c r="L227" i="5"/>
  <c r="M227" i="5" s="1"/>
  <c r="L255" i="8"/>
  <c r="BD23" i="18"/>
  <c r="L190" i="15"/>
  <c r="AB17" i="18"/>
  <c r="J67" i="15"/>
  <c r="K67" i="15" s="1"/>
  <c r="G35" i="6"/>
  <c r="H27" i="6"/>
  <c r="B30" i="13"/>
  <c r="B11" i="13"/>
  <c r="B13" i="13"/>
  <c r="B27" i="13"/>
  <c r="B8" i="13"/>
  <c r="M64" i="2"/>
  <c r="N58" i="2" s="1"/>
  <c r="L148" i="13"/>
  <c r="M148" i="13" s="1"/>
  <c r="L142" i="13"/>
  <c r="M142" i="13" s="1"/>
  <c r="M140" i="13"/>
  <c r="C41" i="4"/>
  <c r="C160" i="4"/>
  <c r="C166" i="4"/>
  <c r="C93" i="15" s="1"/>
  <c r="O177" i="2"/>
  <c r="N179" i="2"/>
  <c r="K124" i="15"/>
  <c r="K125" i="15" s="1"/>
  <c r="X25" i="18"/>
  <c r="C9" i="5"/>
  <c r="B8" i="6"/>
  <c r="G177" i="8"/>
  <c r="E102" i="17" s="1"/>
  <c r="G69" i="9"/>
  <c r="E100" i="17"/>
  <c r="F69" i="5"/>
  <c r="F96" i="5"/>
  <c r="D158" i="4"/>
  <c r="C28" i="17"/>
  <c r="B20" i="18"/>
  <c r="H266" i="5"/>
  <c r="I158" i="13"/>
  <c r="G195" i="4"/>
  <c r="F124" i="5"/>
  <c r="E124" i="5"/>
  <c r="E151" i="13"/>
  <c r="E163" i="13"/>
  <c r="E160" i="13"/>
  <c r="B168" i="4"/>
  <c r="B165" i="4"/>
  <c r="B116" i="8"/>
  <c r="C116" i="8"/>
  <c r="D127" i="3"/>
  <c r="J213" i="5"/>
  <c r="J113" i="15"/>
  <c r="AV21" i="18"/>
  <c r="I108" i="9"/>
  <c r="I317" i="8"/>
  <c r="E56" i="4"/>
  <c r="E194" i="4"/>
  <c r="F194" i="4" s="1"/>
  <c r="E188" i="4"/>
  <c r="I43" i="13"/>
  <c r="I62" i="13"/>
  <c r="I60" i="15"/>
  <c r="I62" i="15"/>
  <c r="J32" i="15"/>
  <c r="E42" i="4"/>
  <c r="E164" i="4"/>
  <c r="F164" i="4" s="1"/>
  <c r="O162" i="2"/>
  <c r="K228" i="5"/>
  <c r="K256" i="8"/>
  <c r="H24" i="18"/>
  <c r="K191" i="15"/>
  <c r="K85" i="5"/>
  <c r="K50" i="5"/>
  <c r="K26" i="5" s="1"/>
  <c r="F162" i="4"/>
  <c r="H73" i="15"/>
  <c r="H76" i="15"/>
  <c r="F296" i="8"/>
  <c r="F102" i="9"/>
  <c r="F302" i="8"/>
  <c r="G294" i="8"/>
  <c r="C31" i="8"/>
  <c r="B12" i="10"/>
  <c r="C12" i="10"/>
  <c r="B180" i="8"/>
  <c r="B10" i="8"/>
  <c r="B36" i="8"/>
  <c r="C36" i="8"/>
  <c r="C10" i="8"/>
  <c r="F63" i="13"/>
  <c r="F75" i="3"/>
  <c r="D21" i="5"/>
  <c r="D107" i="5"/>
  <c r="D21" i="8"/>
  <c r="B77" i="17"/>
  <c r="B108" i="17"/>
  <c r="J107" i="10"/>
  <c r="B8" i="4"/>
  <c r="C129" i="4"/>
  <c r="B33" i="4"/>
  <c r="A22" i="17"/>
  <c r="F42" i="8"/>
  <c r="F183" i="8"/>
  <c r="F13" i="9"/>
  <c r="L146" i="13"/>
  <c r="M146" i="13" s="1"/>
  <c r="M144" i="13"/>
  <c r="BF25" i="18"/>
  <c r="J128" i="15"/>
  <c r="B11" i="5"/>
  <c r="A17" i="17" s="1"/>
  <c r="C11" i="5"/>
  <c r="A15" i="17"/>
  <c r="G139" i="3"/>
  <c r="G252" i="5"/>
  <c r="E90" i="7" s="1"/>
  <c r="D55" i="17"/>
  <c r="E75" i="13"/>
  <c r="F75" i="13" s="1"/>
  <c r="F46" i="5"/>
  <c r="F90" i="5"/>
  <c r="F72" i="5"/>
  <c r="E18" i="13"/>
  <c r="F18" i="13" s="1"/>
  <c r="E23" i="13"/>
  <c r="I81" i="7"/>
  <c r="I241" i="8"/>
  <c r="I81" i="10"/>
  <c r="I275" i="15"/>
  <c r="I45" i="5"/>
  <c r="I89" i="5"/>
  <c r="I71" i="5"/>
  <c r="I27" i="6"/>
  <c r="E185" i="8"/>
  <c r="C108" i="17" s="1"/>
  <c r="E71" i="9"/>
  <c r="C106" i="17"/>
  <c r="B138" i="8"/>
  <c r="B135" i="8"/>
  <c r="C138" i="8"/>
  <c r="C135" i="8"/>
  <c r="J234" i="5"/>
  <c r="J237" i="5"/>
  <c r="I129" i="15"/>
  <c r="J149" i="3"/>
  <c r="J309" i="8"/>
  <c r="J323" i="8"/>
  <c r="J180" i="15"/>
  <c r="K172" i="15"/>
  <c r="I331" i="8"/>
  <c r="I113" i="9"/>
  <c r="G113" i="13"/>
  <c r="E68" i="4"/>
  <c r="G33" i="8"/>
  <c r="H328" i="8"/>
  <c r="D18" i="4"/>
  <c r="D69" i="4"/>
  <c r="F67" i="4"/>
  <c r="D33" i="5"/>
  <c r="D178" i="5"/>
  <c r="D15" i="6"/>
  <c r="F137" i="13"/>
  <c r="F134" i="13"/>
  <c r="F155" i="13"/>
  <c r="H63" i="2"/>
  <c r="H101" i="2"/>
  <c r="H102" i="2"/>
  <c r="G44" i="5"/>
  <c r="G70" i="5"/>
  <c r="G88" i="5"/>
  <c r="H88" i="5" s="1"/>
  <c r="G64" i="5"/>
  <c r="G26" i="6"/>
  <c r="F143" i="3"/>
  <c r="G135" i="3"/>
  <c r="G248" i="5"/>
  <c r="E71" i="13"/>
  <c r="E79" i="13" s="1"/>
  <c r="F79" i="13" s="1"/>
  <c r="D52" i="17"/>
  <c r="H179" i="5"/>
  <c r="D67" i="7"/>
  <c r="H67" i="7" s="1"/>
  <c r="I113" i="10"/>
  <c r="G117" i="13"/>
  <c r="B124" i="4"/>
  <c r="B122" i="4"/>
  <c r="G21" i="13"/>
  <c r="K150" i="13"/>
  <c r="K147" i="13"/>
  <c r="D187" i="5"/>
  <c r="D17" i="7"/>
  <c r="F72" i="10"/>
  <c r="D110" i="17"/>
  <c r="E97" i="2"/>
  <c r="B22" i="13"/>
  <c r="B24" i="13"/>
  <c r="E54" i="5"/>
  <c r="E51" i="5"/>
  <c r="E19" i="5"/>
  <c r="G22" i="8"/>
  <c r="H22" i="8" s="1"/>
  <c r="G318" i="8"/>
  <c r="G315" i="8"/>
  <c r="H318" i="8" s="1"/>
  <c r="H71" i="10"/>
  <c r="G114" i="9"/>
  <c r="H114" i="9" s="1"/>
  <c r="D290" i="5"/>
  <c r="H69" i="9"/>
  <c r="H136" i="13"/>
  <c r="K34" i="7"/>
  <c r="K28" i="7"/>
  <c r="E144" i="3"/>
  <c r="E141" i="3"/>
  <c r="C57" i="17" s="1"/>
  <c r="C53" i="17"/>
  <c r="E72" i="10"/>
  <c r="C110" i="17"/>
  <c r="F268" i="5"/>
  <c r="F271" i="5"/>
  <c r="E76" i="13"/>
  <c r="F76" i="13" s="1"/>
  <c r="E104" i="9"/>
  <c r="G69" i="10"/>
  <c r="H69" i="10" s="1"/>
  <c r="E101" i="17"/>
  <c r="J62" i="15"/>
  <c r="F177" i="4"/>
  <c r="E73" i="10"/>
  <c r="C113" i="17"/>
  <c r="C33" i="17"/>
  <c r="D91" i="15"/>
  <c r="E98" i="2"/>
  <c r="F21" i="13"/>
  <c r="I179" i="5"/>
  <c r="I15" i="7"/>
  <c r="E71" i="4"/>
  <c r="G24" i="8"/>
  <c r="I178" i="15"/>
  <c r="I181" i="15"/>
  <c r="I310" i="8"/>
  <c r="I107" i="9"/>
  <c r="I316" i="8"/>
  <c r="D43" i="9"/>
  <c r="E86" i="5"/>
  <c r="E98" i="5"/>
  <c r="E95" i="5"/>
  <c r="K198" i="15"/>
  <c r="K192" i="15"/>
  <c r="M190" i="15"/>
  <c r="F173" i="4"/>
  <c r="K152" i="3"/>
  <c r="K312" i="8"/>
  <c r="K326" i="8"/>
  <c r="L175" i="15"/>
  <c r="J112" i="10"/>
  <c r="H116" i="13"/>
  <c r="B101" i="4"/>
  <c r="C128" i="4"/>
  <c r="L81" i="5"/>
  <c r="M81" i="5" s="1"/>
  <c r="L30" i="7"/>
  <c r="B111" i="17"/>
  <c r="B23" i="5"/>
  <c r="B180" i="5"/>
  <c r="C180" i="5"/>
  <c r="C178" i="5"/>
  <c r="B67" i="6"/>
  <c r="C67" i="6"/>
  <c r="G299" i="8"/>
  <c r="F103" i="10"/>
  <c r="D159" i="4"/>
  <c r="D167" i="4" s="1"/>
  <c r="D94" i="15" s="1"/>
  <c r="C29" i="17"/>
  <c r="R20" i="18"/>
  <c r="D122" i="9"/>
  <c r="L223" i="5"/>
  <c r="M223" i="5" s="1"/>
  <c r="L251" i="8"/>
  <c r="M251" i="8" s="1"/>
  <c r="J22" i="18"/>
  <c r="E149" i="4"/>
  <c r="D41" i="17"/>
  <c r="AZ19" i="18"/>
  <c r="G132" i="4"/>
  <c r="D24" i="17"/>
  <c r="J36" i="7"/>
  <c r="J33" i="7"/>
  <c r="I154" i="13"/>
  <c r="I136" i="13"/>
  <c r="L149" i="13"/>
  <c r="M149" i="13" s="1"/>
  <c r="M141" i="13"/>
  <c r="E95" i="6"/>
  <c r="F95" i="6" s="1"/>
  <c r="F93" i="6"/>
  <c r="G158" i="3"/>
  <c r="G155" i="3"/>
  <c r="H158" i="3" s="1"/>
  <c r="H150" i="3"/>
  <c r="M87" i="2"/>
  <c r="D294" i="5"/>
  <c r="B96" i="7"/>
  <c r="A61" i="17"/>
  <c r="D12" i="4"/>
  <c r="D53" i="4"/>
  <c r="F43" i="8"/>
  <c r="F187" i="8"/>
  <c r="F14" i="9"/>
  <c r="J129" i="15"/>
  <c r="J130" i="15" s="1"/>
  <c r="E36" i="6"/>
  <c r="E33" i="6"/>
  <c r="E114" i="13"/>
  <c r="F114" i="13" s="1"/>
  <c r="E120" i="13"/>
  <c r="F120" i="13" s="1"/>
  <c r="F249" i="5"/>
  <c r="F255" i="5"/>
  <c r="D89" i="6"/>
  <c r="E254" i="5"/>
  <c r="E257" i="5"/>
  <c r="D56" i="17"/>
  <c r="O178" i="2"/>
  <c r="H25" i="18"/>
  <c r="L123" i="15"/>
  <c r="M123" i="15" s="1"/>
  <c r="P176" i="2"/>
  <c r="D13" i="4"/>
  <c r="D58" i="4"/>
  <c r="B123" i="4"/>
  <c r="D129" i="5"/>
  <c r="D126" i="5"/>
  <c r="K229" i="5"/>
  <c r="K235" i="5"/>
  <c r="D40" i="13"/>
  <c r="D45" i="13"/>
  <c r="D59" i="13"/>
  <c r="J57" i="4"/>
  <c r="K57" i="4" s="1"/>
  <c r="J192" i="4"/>
  <c r="K192" i="4" s="1"/>
  <c r="H267" i="5"/>
  <c r="J197" i="15"/>
  <c r="F28" i="6"/>
  <c r="F34" i="6"/>
  <c r="G121" i="10"/>
  <c r="G122" i="10" s="1"/>
  <c r="G345" i="8"/>
  <c r="G349" i="8" s="1"/>
  <c r="H62" i="13"/>
  <c r="H42" i="13"/>
  <c r="G43" i="13"/>
  <c r="G62" i="13"/>
  <c r="H43" i="13"/>
  <c r="L49" i="5"/>
  <c r="M49" i="5" s="1"/>
  <c r="L84" i="5"/>
  <c r="M84" i="5" s="1"/>
  <c r="L27" i="7"/>
  <c r="M27" i="7" s="1"/>
  <c r="B93" i="15"/>
  <c r="E51" i="4"/>
  <c r="E174" i="4"/>
  <c r="F174" i="4" s="1"/>
  <c r="E180" i="4"/>
  <c r="F180" i="4" s="1"/>
  <c r="P162" i="2"/>
  <c r="H64" i="5"/>
  <c r="J114" i="15"/>
  <c r="E189" i="8"/>
  <c r="C111" i="17" s="1"/>
  <c r="E72" i="9"/>
  <c r="C109" i="17"/>
  <c r="J81" i="6"/>
  <c r="J240" i="8"/>
  <c r="J81" i="9"/>
  <c r="J274" i="15"/>
  <c r="I214" i="5"/>
  <c r="I276" i="15" s="1"/>
  <c r="J279" i="15" s="1"/>
  <c r="I242" i="8"/>
  <c r="D179" i="4"/>
  <c r="D182" i="4"/>
  <c r="I157" i="3"/>
  <c r="G173" i="4"/>
  <c r="G94" i="6"/>
  <c r="I262" i="5"/>
  <c r="H332" i="8"/>
  <c r="H32" i="4"/>
  <c r="H99" i="4"/>
  <c r="H98" i="4"/>
  <c r="I131" i="4" s="1"/>
  <c r="J42" i="13"/>
  <c r="J52" i="13"/>
  <c r="J53" i="13" s="1"/>
  <c r="J76" i="3" s="1"/>
  <c r="F23" i="17"/>
  <c r="BD16" i="18"/>
  <c r="H20" i="13"/>
  <c r="H21" i="13" s="1"/>
  <c r="K98" i="2" s="1"/>
  <c r="H17" i="13"/>
  <c r="G186" i="4"/>
  <c r="I66" i="5"/>
  <c r="I62" i="5"/>
  <c r="I127" i="13"/>
  <c r="I131" i="13"/>
  <c r="I44" i="15"/>
  <c r="I38" i="15"/>
  <c r="J36" i="15"/>
  <c r="G133" i="13"/>
  <c r="G157" i="13"/>
  <c r="H157" i="13" s="1"/>
  <c r="J153" i="3"/>
  <c r="K176" i="15"/>
  <c r="K177" i="15" s="1"/>
  <c r="G177" i="4"/>
  <c r="I266" i="5"/>
  <c r="G94" i="7"/>
  <c r="G95" i="7" s="1"/>
  <c r="I140" i="5"/>
  <c r="I280" i="5"/>
  <c r="I47" i="7"/>
  <c r="I150" i="8"/>
  <c r="I47" i="10"/>
  <c r="H103" i="13"/>
  <c r="H89" i="13"/>
  <c r="H131" i="4"/>
  <c r="H184" i="5"/>
  <c r="F23" i="13"/>
  <c r="H120" i="10"/>
  <c r="H184" i="8"/>
  <c r="G295" i="8"/>
  <c r="F103" i="9"/>
  <c r="F303" i="8"/>
  <c r="H177" i="8"/>
  <c r="B102" i="17"/>
  <c r="K82" i="5"/>
  <c r="E193" i="8"/>
  <c r="C114" i="17" s="1"/>
  <c r="E73" i="9"/>
  <c r="C112" i="17"/>
  <c r="B41" i="8"/>
  <c r="C21" i="8"/>
  <c r="C41" i="8"/>
  <c r="B179" i="8"/>
  <c r="B12" i="9"/>
  <c r="C12" i="9"/>
  <c r="C26" i="8"/>
  <c r="C9" i="8"/>
  <c r="B26" i="8"/>
  <c r="B9" i="8"/>
  <c r="D78" i="13"/>
  <c r="D72" i="13"/>
  <c r="F142" i="3"/>
  <c r="G134" i="3"/>
  <c r="F136" i="3"/>
  <c r="G247" i="5"/>
  <c r="E70" i="13"/>
  <c r="F70" i="13" s="1"/>
  <c r="D51" i="17"/>
  <c r="H35" i="6"/>
  <c r="J257" i="8"/>
  <c r="G253" i="5"/>
  <c r="E89" i="7"/>
  <c r="D119" i="13"/>
  <c r="D122" i="13"/>
  <c r="I200" i="15"/>
  <c r="I197" i="15"/>
  <c r="AP25" i="18"/>
  <c r="K127" i="15"/>
  <c r="E301" i="8"/>
  <c r="E304" i="8"/>
  <c r="F97" i="2"/>
  <c r="C24" i="13"/>
  <c r="C22" i="13"/>
  <c r="D196" i="4"/>
  <c r="D193" i="4"/>
  <c r="F188" i="4"/>
  <c r="G68" i="7"/>
  <c r="H68" i="7" s="1"/>
  <c r="J30" i="15"/>
  <c r="C31" i="4"/>
  <c r="C96" i="4"/>
  <c r="C95" i="4"/>
  <c r="C7" i="13"/>
  <c r="E39" i="13"/>
  <c r="E49" i="13"/>
  <c r="AF16" i="18"/>
  <c r="B21" i="17"/>
  <c r="C10" i="13"/>
  <c r="G122" i="9"/>
  <c r="I150" i="3"/>
  <c r="I156" i="3"/>
  <c r="G172" i="4"/>
  <c r="I261" i="5"/>
  <c r="G93" i="6"/>
  <c r="D136" i="8"/>
  <c r="D114" i="8"/>
  <c r="D130" i="8"/>
  <c r="K263" i="8"/>
  <c r="K257" i="8"/>
  <c r="F181" i="4"/>
  <c r="F42" i="4"/>
  <c r="G270" i="5"/>
  <c r="H270" i="5" s="1"/>
  <c r="H262" i="5"/>
  <c r="I75" i="15"/>
  <c r="I68" i="15"/>
  <c r="F300" i="8"/>
  <c r="F102" i="10"/>
  <c r="G298" i="8"/>
  <c r="J177" i="15"/>
  <c r="J154" i="3"/>
  <c r="H176" i="4"/>
  <c r="J265" i="5"/>
  <c r="H93" i="7"/>
  <c r="D50" i="13"/>
  <c r="D55" i="13"/>
  <c r="B102" i="4"/>
  <c r="B100" i="4"/>
  <c r="L48" i="5"/>
  <c r="M48" i="5" s="1"/>
  <c r="L83" i="5"/>
  <c r="L77" i="5"/>
  <c r="M77" i="5" s="1"/>
  <c r="L26" i="7"/>
  <c r="M26" i="7" s="1"/>
  <c r="J132" i="15"/>
  <c r="J204" i="15" s="1"/>
  <c r="J344" i="8" s="1"/>
  <c r="J121" i="10" s="1"/>
  <c r="H135" i="13"/>
  <c r="C23" i="5"/>
  <c r="H183" i="5"/>
  <c r="B94" i="15"/>
  <c r="J131" i="15"/>
  <c r="J203" i="15" s="1"/>
  <c r="J339" i="8" s="1"/>
  <c r="E63" i="13"/>
  <c r="E75" i="3"/>
  <c r="H62" i="5"/>
  <c r="D106" i="4"/>
  <c r="D107" i="4"/>
  <c r="B16" i="18"/>
  <c r="G67" i="2"/>
  <c r="H120" i="9"/>
  <c r="I267" i="5"/>
  <c r="I109" i="4"/>
  <c r="I110" i="4"/>
  <c r="I121" i="4" s="1"/>
  <c r="Z16" i="18"/>
  <c r="L68" i="2"/>
  <c r="H52" i="13"/>
  <c r="G53" i="13"/>
  <c r="G76" i="3" s="1"/>
  <c r="H53" i="13"/>
  <c r="J63" i="5"/>
  <c r="J67" i="5"/>
  <c r="H187" i="4"/>
  <c r="H195" i="4" s="1"/>
  <c r="J128" i="13"/>
  <c r="J132" i="13"/>
  <c r="J158" i="13" s="1"/>
  <c r="J45" i="15"/>
  <c r="K37" i="15"/>
  <c r="I93" i="5"/>
  <c r="I31" i="6"/>
  <c r="L31" i="7"/>
  <c r="M31" i="7" s="1"/>
  <c r="M80" i="5"/>
  <c r="F89" i="13"/>
  <c r="B43" i="4"/>
  <c r="A30" i="17"/>
  <c r="B87" i="15"/>
  <c r="G263" i="5"/>
  <c r="H263" i="5" s="1"/>
  <c r="G269" i="5"/>
  <c r="H269" i="5" s="1"/>
  <c r="H70" i="5"/>
  <c r="J60" i="15"/>
  <c r="F51" i="4"/>
  <c r="I63" i="2"/>
  <c r="L252" i="8" l="1"/>
  <c r="L224" i="5"/>
  <c r="AB22" i="18"/>
  <c r="J327" i="8"/>
  <c r="J331" i="8" s="1"/>
  <c r="J31" i="15"/>
  <c r="C19" i="6"/>
  <c r="H171" i="8"/>
  <c r="D68" i="9"/>
  <c r="H68" i="9" s="1"/>
  <c r="B97" i="17"/>
  <c r="J199" i="15"/>
  <c r="J61" i="15"/>
  <c r="J313" i="8"/>
  <c r="J108" i="10" s="1"/>
  <c r="D91" i="6"/>
  <c r="B19" i="6"/>
  <c r="H10" i="10"/>
  <c r="K195" i="15"/>
  <c r="K196" i="15" s="1"/>
  <c r="K260" i="8"/>
  <c r="O164" i="2"/>
  <c r="AR24" i="18"/>
  <c r="K232" i="5"/>
  <c r="H197" i="15"/>
  <c r="H200" i="15"/>
  <c r="L82" i="5"/>
  <c r="M85" i="5" s="1"/>
  <c r="F71" i="13"/>
  <c r="H315" i="8"/>
  <c r="K199" i="15"/>
  <c r="J236" i="5"/>
  <c r="J264" i="8"/>
  <c r="J314" i="8"/>
  <c r="J32" i="8" s="1"/>
  <c r="J13" i="10" s="1"/>
  <c r="H155" i="3"/>
  <c r="C68" i="10"/>
  <c r="A98" i="17"/>
  <c r="C172" i="8"/>
  <c r="B68" i="10"/>
  <c r="C173" i="8"/>
  <c r="B173" i="8"/>
  <c r="A99" i="17" s="1"/>
  <c r="M39" i="8"/>
  <c r="H172" i="8"/>
  <c r="B98" i="17"/>
  <c r="D173" i="8"/>
  <c r="D68" i="10"/>
  <c r="F68" i="10"/>
  <c r="D98" i="17"/>
  <c r="F173" i="8"/>
  <c r="D99" i="17" s="1"/>
  <c r="M10" i="10"/>
  <c r="E68" i="10"/>
  <c r="C98" i="17"/>
  <c r="E173" i="8"/>
  <c r="C99" i="17" s="1"/>
  <c r="J172" i="8"/>
  <c r="J176" i="8"/>
  <c r="J183" i="5"/>
  <c r="J171" i="8"/>
  <c r="J175" i="8"/>
  <c r="J182" i="5"/>
  <c r="J179" i="5"/>
  <c r="J67" i="7" s="1"/>
  <c r="E77" i="3"/>
  <c r="E139" i="5"/>
  <c r="E279" i="5"/>
  <c r="E281" i="5" s="1"/>
  <c r="E46" i="7"/>
  <c r="E48" i="7" s="1"/>
  <c r="E149" i="8"/>
  <c r="E46" i="10"/>
  <c r="E48" i="10" s="1"/>
  <c r="D102" i="13"/>
  <c r="D88" i="13"/>
  <c r="C30" i="13"/>
  <c r="C11" i="13"/>
  <c r="C148" i="4"/>
  <c r="B40" i="17"/>
  <c r="AF19" i="18"/>
  <c r="G159" i="13"/>
  <c r="H159" i="13" s="1"/>
  <c r="H133" i="13"/>
  <c r="K197" i="15"/>
  <c r="K200" i="15"/>
  <c r="E33" i="5"/>
  <c r="E178" i="5"/>
  <c r="E15" i="6"/>
  <c r="J98" i="2"/>
  <c r="J138" i="3"/>
  <c r="J251" i="5"/>
  <c r="H74" i="13"/>
  <c r="F54" i="17"/>
  <c r="J97" i="2"/>
  <c r="G24" i="13"/>
  <c r="G22" i="13"/>
  <c r="I114" i="9"/>
  <c r="C8" i="13"/>
  <c r="C13" i="13"/>
  <c r="C33" i="13" s="1"/>
  <c r="C27" i="13"/>
  <c r="J140" i="5"/>
  <c r="J280" i="5"/>
  <c r="J47" i="7"/>
  <c r="J150" i="8"/>
  <c r="J47" i="10"/>
  <c r="I103" i="13"/>
  <c r="I89" i="13"/>
  <c r="J214" i="5"/>
  <c r="J276" i="15" s="1"/>
  <c r="K279" i="15" s="1"/>
  <c r="J242" i="8"/>
  <c r="E72" i="4"/>
  <c r="E73" i="4" s="1"/>
  <c r="G34" i="8"/>
  <c r="D65" i="13"/>
  <c r="L127" i="15"/>
  <c r="M127" i="15" s="1"/>
  <c r="AR25" i="18"/>
  <c r="F254" i="5"/>
  <c r="F257" i="5"/>
  <c r="H103" i="10"/>
  <c r="H299" i="8"/>
  <c r="I299" i="8"/>
  <c r="G103" i="10"/>
  <c r="L32" i="7"/>
  <c r="M32" i="7" s="1"/>
  <c r="M30" i="7"/>
  <c r="I176" i="4"/>
  <c r="K265" i="5"/>
  <c r="I93" i="7"/>
  <c r="G15" i="9"/>
  <c r="G191" i="8"/>
  <c r="G96" i="5"/>
  <c r="H96" i="5" s="1"/>
  <c r="G69" i="5"/>
  <c r="H67" i="2"/>
  <c r="E107" i="4"/>
  <c r="E106" i="4"/>
  <c r="E112" i="4" s="1"/>
  <c r="E123" i="4" s="1"/>
  <c r="D16" i="18"/>
  <c r="I57" i="2"/>
  <c r="F68" i="4"/>
  <c r="J340" i="8"/>
  <c r="J341" i="8" s="1"/>
  <c r="I35" i="6"/>
  <c r="I53" i="5"/>
  <c r="G178" i="4"/>
  <c r="I139" i="3"/>
  <c r="I140" i="3" s="1"/>
  <c r="H139" i="3"/>
  <c r="I252" i="5"/>
  <c r="G75" i="13"/>
  <c r="E55" i="17"/>
  <c r="B12" i="12"/>
  <c r="A19" i="17"/>
  <c r="F104" i="9"/>
  <c r="F91" i="15"/>
  <c r="D33" i="17"/>
  <c r="E13" i="4"/>
  <c r="E58" i="4"/>
  <c r="F58" i="4" s="1"/>
  <c r="F56" i="4"/>
  <c r="D160" i="4"/>
  <c r="D166" i="4"/>
  <c r="D93" i="15" s="1"/>
  <c r="D41" i="4"/>
  <c r="BH25" i="18"/>
  <c r="K128" i="15"/>
  <c r="C165" i="4"/>
  <c r="C168" i="4"/>
  <c r="E95" i="2"/>
  <c r="B12" i="13"/>
  <c r="B28" i="13"/>
  <c r="B14" i="13"/>
  <c r="L235" i="5"/>
  <c r="M235" i="5" s="1"/>
  <c r="F348" i="8"/>
  <c r="H348" i="8" s="1"/>
  <c r="F121" i="9"/>
  <c r="F341" i="8"/>
  <c r="H340" i="8"/>
  <c r="I69" i="10"/>
  <c r="F101" i="17"/>
  <c r="K131" i="15"/>
  <c r="K203" i="15" s="1"/>
  <c r="M251" i="5"/>
  <c r="I253" i="5"/>
  <c r="M253" i="5"/>
  <c r="G89" i="7"/>
  <c r="K89" i="7"/>
  <c r="H140" i="3"/>
  <c r="I32" i="8"/>
  <c r="E18" i="4"/>
  <c r="E69" i="4"/>
  <c r="F69" i="4" s="1"/>
  <c r="D148" i="4"/>
  <c r="C40" i="17"/>
  <c r="AH19" i="18"/>
  <c r="G94" i="5"/>
  <c r="H94" i="5" s="1"/>
  <c r="H68" i="5"/>
  <c r="O122" i="2"/>
  <c r="L212" i="5"/>
  <c r="L112" i="15"/>
  <c r="M112" i="15" s="1"/>
  <c r="AH21" i="18"/>
  <c r="H162" i="4"/>
  <c r="AN20" i="18"/>
  <c r="F31" i="17"/>
  <c r="L103" i="2"/>
  <c r="J93" i="5"/>
  <c r="J31" i="6"/>
  <c r="H136" i="3"/>
  <c r="G142" i="3"/>
  <c r="G136" i="3"/>
  <c r="H134" i="3"/>
  <c r="I134" i="3"/>
  <c r="H142" i="3"/>
  <c r="I247" i="5"/>
  <c r="G70" i="13"/>
  <c r="E51" i="17"/>
  <c r="G303" i="8"/>
  <c r="H103" i="9"/>
  <c r="H295" i="8"/>
  <c r="H303" i="8"/>
  <c r="I295" i="8"/>
  <c r="G103" i="9"/>
  <c r="G56" i="4"/>
  <c r="G188" i="4"/>
  <c r="G194" i="4"/>
  <c r="I270" i="5"/>
  <c r="F13" i="4"/>
  <c r="L152" i="3"/>
  <c r="M152" i="3" s="1"/>
  <c r="L312" i="8"/>
  <c r="L326" i="8"/>
  <c r="H175" i="15"/>
  <c r="C175" i="15"/>
  <c r="M175" i="15"/>
  <c r="I67" i="7"/>
  <c r="I135" i="3"/>
  <c r="H135" i="3"/>
  <c r="G143" i="3"/>
  <c r="H143" i="3"/>
  <c r="I248" i="5"/>
  <c r="G71" i="13"/>
  <c r="E52" i="17"/>
  <c r="G188" i="8"/>
  <c r="G14" i="10"/>
  <c r="H14" i="10" s="1"/>
  <c r="H33" i="8"/>
  <c r="I130" i="15"/>
  <c r="I133" i="15"/>
  <c r="F77" i="3"/>
  <c r="F123" i="3" s="1"/>
  <c r="F139" i="5"/>
  <c r="F279" i="5"/>
  <c r="F281" i="5" s="1"/>
  <c r="F46" i="7"/>
  <c r="F48" i="7" s="1"/>
  <c r="F149" i="8"/>
  <c r="F46" i="10"/>
  <c r="F48" i="10" s="1"/>
  <c r="E102" i="13"/>
  <c r="E104" i="13" s="1"/>
  <c r="E88" i="13"/>
  <c r="E90" i="13" s="1"/>
  <c r="B17" i="10"/>
  <c r="C17" i="10"/>
  <c r="F43" i="7"/>
  <c r="F133" i="8"/>
  <c r="F42" i="10"/>
  <c r="D79" i="17"/>
  <c r="J110" i="4"/>
  <c r="J121" i="4" s="1"/>
  <c r="J109" i="4"/>
  <c r="K109" i="4" s="1"/>
  <c r="AB16" i="18"/>
  <c r="M68" i="2"/>
  <c r="L263" i="8"/>
  <c r="M263" i="8" s="1"/>
  <c r="J120" i="9"/>
  <c r="C122" i="4"/>
  <c r="C124" i="4"/>
  <c r="I173" i="8"/>
  <c r="I68" i="9"/>
  <c r="F97" i="17"/>
  <c r="B188" i="5"/>
  <c r="C196" i="5" s="1"/>
  <c r="C188" i="5"/>
  <c r="C186" i="5"/>
  <c r="B69" i="6"/>
  <c r="B71" i="6" s="1"/>
  <c r="C69" i="6"/>
  <c r="I204" i="15"/>
  <c r="H163" i="4"/>
  <c r="F32" i="17"/>
  <c r="BD20" i="18"/>
  <c r="L104" i="2"/>
  <c r="K213" i="5"/>
  <c r="AX21" i="18"/>
  <c r="K113" i="15"/>
  <c r="G42" i="4"/>
  <c r="G164" i="4"/>
  <c r="B95" i="15"/>
  <c r="A34" i="17"/>
  <c r="B92" i="15"/>
  <c r="J45" i="5"/>
  <c r="J53" i="5" s="1"/>
  <c r="J71" i="5"/>
  <c r="J97" i="5" s="1"/>
  <c r="J89" i="5"/>
  <c r="J27" i="6"/>
  <c r="J35" i="6" s="1"/>
  <c r="I73" i="15"/>
  <c r="I76" i="15"/>
  <c r="H186" i="4"/>
  <c r="J66" i="5"/>
  <c r="J62" i="5"/>
  <c r="J127" i="13"/>
  <c r="J131" i="13"/>
  <c r="J38" i="15"/>
  <c r="J44" i="15"/>
  <c r="K36" i="15"/>
  <c r="M213" i="5"/>
  <c r="I98" i="4"/>
  <c r="I32" i="4"/>
  <c r="I99" i="4"/>
  <c r="K42" i="13"/>
  <c r="K52" i="13"/>
  <c r="K53" i="13" s="1"/>
  <c r="K76" i="3" s="1"/>
  <c r="G23" i="17"/>
  <c r="BF16" i="18"/>
  <c r="I17" i="13"/>
  <c r="I20" i="13"/>
  <c r="I21" i="13" s="1"/>
  <c r="L98" i="2" s="1"/>
  <c r="J205" i="15"/>
  <c r="J343" i="8"/>
  <c r="L28" i="7"/>
  <c r="L34" i="7"/>
  <c r="D54" i="13"/>
  <c r="D56" i="13"/>
  <c r="I263" i="5"/>
  <c r="I269" i="5"/>
  <c r="C101" i="4"/>
  <c r="D134" i="4" s="1"/>
  <c r="D128" i="4"/>
  <c r="J265" i="8"/>
  <c r="J262" i="8"/>
  <c r="E89" i="6"/>
  <c r="G255" i="5"/>
  <c r="G249" i="5"/>
  <c r="B37" i="8"/>
  <c r="B46" i="8"/>
  <c r="C37" i="8"/>
  <c r="C46" i="8"/>
  <c r="C17" i="9"/>
  <c r="B17" i="9"/>
  <c r="M83" i="5"/>
  <c r="K153" i="3"/>
  <c r="K313" i="8"/>
  <c r="K108" i="10" s="1"/>
  <c r="K327" i="8"/>
  <c r="K328" i="8" s="1"/>
  <c r="L176" i="15"/>
  <c r="M177" i="15" s="1"/>
  <c r="H177" i="4"/>
  <c r="J266" i="5"/>
  <c r="J267" i="5" s="1"/>
  <c r="H94" i="7"/>
  <c r="H95" i="7" s="1"/>
  <c r="J63" i="2"/>
  <c r="J101" i="2"/>
  <c r="J102" i="2"/>
  <c r="I64" i="5"/>
  <c r="I70" i="5"/>
  <c r="I44" i="5"/>
  <c r="I88" i="5"/>
  <c r="I26" i="6"/>
  <c r="H149" i="4"/>
  <c r="BD19" i="18"/>
  <c r="F41" i="17"/>
  <c r="J43" i="13"/>
  <c r="J62" i="13"/>
  <c r="G181" i="4"/>
  <c r="E12" i="4"/>
  <c r="F12" i="4" s="1"/>
  <c r="E53" i="4"/>
  <c r="F53" i="4" s="1"/>
  <c r="L35" i="7"/>
  <c r="M35" i="7" s="1"/>
  <c r="D44" i="13"/>
  <c r="D46" i="13"/>
  <c r="D60" i="13"/>
  <c r="F189" i="8"/>
  <c r="D111" i="17" s="1"/>
  <c r="F72" i="9"/>
  <c r="D109" i="17"/>
  <c r="I162" i="13"/>
  <c r="B194" i="5"/>
  <c r="B31" i="5"/>
  <c r="C31" i="5"/>
  <c r="B37" i="5"/>
  <c r="C37" i="5"/>
  <c r="K112" i="10"/>
  <c r="I116" i="13"/>
  <c r="M326" i="8"/>
  <c r="E19" i="4"/>
  <c r="K33" i="7"/>
  <c r="K36" i="7"/>
  <c r="M28" i="7"/>
  <c r="B148" i="4"/>
  <c r="A40" i="17"/>
  <c r="AD19" i="18"/>
  <c r="G34" i="6"/>
  <c r="H34" i="6" s="1"/>
  <c r="G28" i="6"/>
  <c r="H26" i="6"/>
  <c r="G52" i="5"/>
  <c r="H52" i="5" s="1"/>
  <c r="H44" i="5"/>
  <c r="G121" i="13"/>
  <c r="K149" i="3"/>
  <c r="K309" i="8"/>
  <c r="K323" i="8"/>
  <c r="K180" i="15"/>
  <c r="L172" i="15"/>
  <c r="J317" i="8"/>
  <c r="J108" i="9"/>
  <c r="I97" i="5"/>
  <c r="F19" i="5"/>
  <c r="F54" i="5"/>
  <c r="F51" i="5"/>
  <c r="F185" i="8"/>
  <c r="D108" i="17" s="1"/>
  <c r="F71" i="9"/>
  <c r="D106" i="17"/>
  <c r="C133" i="4"/>
  <c r="C135" i="4"/>
  <c r="A25" i="17"/>
  <c r="B81" i="17"/>
  <c r="C180" i="8"/>
  <c r="B70" i="10"/>
  <c r="C70" i="10"/>
  <c r="A104" i="17"/>
  <c r="B200" i="8"/>
  <c r="C200" i="8"/>
  <c r="F304" i="8"/>
  <c r="F301" i="8"/>
  <c r="K236" i="5"/>
  <c r="I63" i="13"/>
  <c r="I75" i="3"/>
  <c r="O179" i="2"/>
  <c r="L124" i="15"/>
  <c r="L125" i="15" s="1"/>
  <c r="M125" i="15" s="1"/>
  <c r="Z25" i="18"/>
  <c r="P177" i="2"/>
  <c r="C43" i="4"/>
  <c r="B30" i="17"/>
  <c r="C87" i="15"/>
  <c r="E96" i="2"/>
  <c r="B31" i="13"/>
  <c r="L198" i="15"/>
  <c r="M198" i="15" s="1"/>
  <c r="K148" i="3"/>
  <c r="K308" i="8"/>
  <c r="K339" i="8"/>
  <c r="K322" i="8"/>
  <c r="K179" i="15"/>
  <c r="K173" i="15"/>
  <c r="L171" i="15"/>
  <c r="J310" i="8"/>
  <c r="J107" i="9"/>
  <c r="J109" i="9" s="1"/>
  <c r="J316" i="8"/>
  <c r="B19" i="7"/>
  <c r="C8" i="7"/>
  <c r="C19" i="7"/>
  <c r="B8" i="7"/>
  <c r="I184" i="5"/>
  <c r="I68" i="6"/>
  <c r="I205" i="15"/>
  <c r="I343" i="8"/>
  <c r="I339" i="8"/>
  <c r="K114" i="15"/>
  <c r="J133" i="15"/>
  <c r="I188" i="8"/>
  <c r="I14" i="10"/>
  <c r="J91" i="15"/>
  <c r="H298" i="8"/>
  <c r="I298" i="8"/>
  <c r="G300" i="8"/>
  <c r="H300" i="8"/>
  <c r="G102" i="10"/>
  <c r="H102" i="10"/>
  <c r="E40" i="13"/>
  <c r="E45" i="13"/>
  <c r="E59" i="13"/>
  <c r="C33" i="4"/>
  <c r="C8" i="4"/>
  <c r="D129" i="4"/>
  <c r="B22" i="17"/>
  <c r="K129" i="15"/>
  <c r="K130" i="15" s="1"/>
  <c r="I133" i="13"/>
  <c r="I157" i="13"/>
  <c r="G63" i="13"/>
  <c r="H63" i="13"/>
  <c r="G75" i="3"/>
  <c r="F36" i="6"/>
  <c r="F33" i="6"/>
  <c r="K107" i="10"/>
  <c r="I22" i="8"/>
  <c r="I318" i="8"/>
  <c r="I315" i="8"/>
  <c r="E158" i="4"/>
  <c r="D28" i="17"/>
  <c r="D20" i="18"/>
  <c r="I101" i="2"/>
  <c r="M86" i="2"/>
  <c r="J113" i="9"/>
  <c r="H113" i="13"/>
  <c r="D179" i="8"/>
  <c r="D41" i="8"/>
  <c r="D12" i="9"/>
  <c r="K132" i="15"/>
  <c r="K204" i="15" s="1"/>
  <c r="K344" i="8" s="1"/>
  <c r="K121" i="10" s="1"/>
  <c r="M124" i="15"/>
  <c r="L147" i="13"/>
  <c r="M150" i="13" s="1"/>
  <c r="L150" i="13"/>
  <c r="F121" i="10"/>
  <c r="H344" i="8"/>
  <c r="F345" i="8"/>
  <c r="J150" i="3"/>
  <c r="J156" i="3"/>
  <c r="H172" i="4"/>
  <c r="J261" i="5"/>
  <c r="H93" i="6"/>
  <c r="I69" i="9"/>
  <c r="I177" i="8"/>
  <c r="F100" i="17"/>
  <c r="G76" i="13"/>
  <c r="G43" i="8"/>
  <c r="H43" i="8" s="1"/>
  <c r="G187" i="8"/>
  <c r="G14" i="9"/>
  <c r="H14" i="9" s="1"/>
  <c r="D70" i="10"/>
  <c r="B104" i="17"/>
  <c r="G137" i="13"/>
  <c r="G134" i="13"/>
  <c r="G155" i="13"/>
  <c r="H155" i="13" s="1"/>
  <c r="H129" i="13"/>
  <c r="G114" i="13"/>
  <c r="G120" i="13"/>
  <c r="G271" i="5"/>
  <c r="G268" i="5"/>
  <c r="H268" i="5" s="1"/>
  <c r="H76" i="3"/>
  <c r="G140" i="5"/>
  <c r="H140" i="5"/>
  <c r="G280" i="5"/>
  <c r="G47" i="7"/>
  <c r="H280" i="5"/>
  <c r="H47" i="7"/>
  <c r="H150" i="8"/>
  <c r="G150" i="8"/>
  <c r="G47" i="10"/>
  <c r="G89" i="13"/>
  <c r="H47" i="10"/>
  <c r="G103" i="13"/>
  <c r="N64" i="2"/>
  <c r="D111" i="4"/>
  <c r="D118" i="4"/>
  <c r="D113" i="4"/>
  <c r="F118" i="4"/>
  <c r="F107" i="4"/>
  <c r="F104" i="10"/>
  <c r="D138" i="8"/>
  <c r="D135" i="8"/>
  <c r="G95" i="6"/>
  <c r="E72" i="13"/>
  <c r="E78" i="13"/>
  <c r="F78" i="13" s="1"/>
  <c r="B11" i="8"/>
  <c r="A20" i="17" s="1"/>
  <c r="C11" i="8"/>
  <c r="B11" i="12"/>
  <c r="A18" i="17"/>
  <c r="I135" i="13"/>
  <c r="I153" i="13"/>
  <c r="I129" i="13"/>
  <c r="H18" i="13"/>
  <c r="H23" i="13"/>
  <c r="I132" i="4"/>
  <c r="F24" i="17"/>
  <c r="E182" i="4"/>
  <c r="E179" i="4"/>
  <c r="F182" i="4" s="1"/>
  <c r="J154" i="13"/>
  <c r="J136" i="13"/>
  <c r="J162" i="13" s="1"/>
  <c r="D112" i="4"/>
  <c r="D116" i="8"/>
  <c r="I155" i="3"/>
  <c r="I158" i="3"/>
  <c r="I187" i="4"/>
  <c r="I195" i="4" s="1"/>
  <c r="K67" i="5"/>
  <c r="K63" i="5"/>
  <c r="K128" i="13"/>
  <c r="K132" i="13"/>
  <c r="K158" i="13" s="1"/>
  <c r="K45" i="15"/>
  <c r="L37" i="15"/>
  <c r="J85" i="15"/>
  <c r="G118" i="13"/>
  <c r="D95" i="4"/>
  <c r="D31" i="4"/>
  <c r="D96" i="4"/>
  <c r="D7" i="13"/>
  <c r="F39" i="13"/>
  <c r="F49" i="13"/>
  <c r="AH16" i="18"/>
  <c r="C21" i="17"/>
  <c r="D10" i="13"/>
  <c r="L50" i="5"/>
  <c r="L85" i="5"/>
  <c r="M255" i="8"/>
  <c r="G51" i="4"/>
  <c r="G174" i="4"/>
  <c r="G180" i="4"/>
  <c r="E50" i="13"/>
  <c r="E55" i="13"/>
  <c r="C100" i="4"/>
  <c r="C102" i="4"/>
  <c r="P178" i="2"/>
  <c r="E91" i="7"/>
  <c r="F141" i="3"/>
  <c r="D57" i="17" s="1"/>
  <c r="F144" i="3"/>
  <c r="D53" i="17"/>
  <c r="D77" i="13"/>
  <c r="D80" i="13"/>
  <c r="F72" i="13"/>
  <c r="B181" i="8"/>
  <c r="C181" i="8"/>
  <c r="B70" i="9"/>
  <c r="C70" i="9"/>
  <c r="C179" i="8"/>
  <c r="A103" i="17"/>
  <c r="B199" i="8"/>
  <c r="C199" i="8"/>
  <c r="M82" i="5"/>
  <c r="H117" i="13"/>
  <c r="H118" i="13" s="1"/>
  <c r="I43" i="15"/>
  <c r="I46" i="15"/>
  <c r="I68" i="5"/>
  <c r="I92" i="5"/>
  <c r="I30" i="6"/>
  <c r="E119" i="13"/>
  <c r="F119" i="13" s="1"/>
  <c r="E122" i="13"/>
  <c r="D295" i="5"/>
  <c r="I114" i="10"/>
  <c r="C194" i="5"/>
  <c r="C134" i="4"/>
  <c r="I109" i="9"/>
  <c r="G346" i="8"/>
  <c r="I98" i="2"/>
  <c r="B149" i="4"/>
  <c r="F149" i="4" s="1"/>
  <c r="A41" i="17"/>
  <c r="AT19" i="18"/>
  <c r="M34" i="7"/>
  <c r="G183" i="8"/>
  <c r="H183" i="8" s="1"/>
  <c r="G42" i="8"/>
  <c r="H42" i="8" s="1"/>
  <c r="G13" i="9"/>
  <c r="H13" i="9" s="1"/>
  <c r="D69" i="7"/>
  <c r="G256" i="5"/>
  <c r="E90" i="6"/>
  <c r="G72" i="5"/>
  <c r="G90" i="5"/>
  <c r="H90" i="5" s="1"/>
  <c r="G46" i="5"/>
  <c r="H46" i="5" s="1"/>
  <c r="E159" i="4"/>
  <c r="D29" i="17"/>
  <c r="T20" i="18"/>
  <c r="J86" i="15"/>
  <c r="I102" i="2"/>
  <c r="F151" i="13"/>
  <c r="F163" i="13"/>
  <c r="F160" i="13"/>
  <c r="D180" i="5"/>
  <c r="D67" i="6"/>
  <c r="J157" i="3"/>
  <c r="H173" i="4"/>
  <c r="J262" i="5"/>
  <c r="J270" i="5" s="1"/>
  <c r="H94" i="6"/>
  <c r="H97" i="2"/>
  <c r="E22" i="13"/>
  <c r="F24" i="13" s="1"/>
  <c r="E24" i="13"/>
  <c r="G52" i="4"/>
  <c r="J109" i="10"/>
  <c r="D35" i="5"/>
  <c r="D186" i="5"/>
  <c r="D17" i="6"/>
  <c r="H294" i="8"/>
  <c r="H302" i="8"/>
  <c r="I294" i="8"/>
  <c r="G296" i="8"/>
  <c r="H296" i="8"/>
  <c r="G102" i="9"/>
  <c r="H102" i="9"/>
  <c r="G302" i="8"/>
  <c r="K15" i="7"/>
  <c r="L228" i="5"/>
  <c r="L256" i="8"/>
  <c r="J24" i="18"/>
  <c r="L191" i="15"/>
  <c r="L192" i="15" s="1"/>
  <c r="E193" i="4"/>
  <c r="F193" i="4" s="1"/>
  <c r="E196" i="4"/>
  <c r="J81" i="7"/>
  <c r="J241" i="8"/>
  <c r="J81" i="10"/>
  <c r="J275" i="15"/>
  <c r="E43" i="7"/>
  <c r="E133" i="8"/>
  <c r="E42" i="10"/>
  <c r="C79" i="17"/>
  <c r="F86" i="5"/>
  <c r="F98" i="5"/>
  <c r="F95" i="5"/>
  <c r="H69" i="5"/>
  <c r="H72" i="5"/>
  <c r="B33" i="13"/>
  <c r="J75" i="15"/>
  <c r="K75" i="15" s="1"/>
  <c r="J68" i="15"/>
  <c r="K68" i="15" s="1"/>
  <c r="J181" i="15"/>
  <c r="J178" i="15"/>
  <c r="J330" i="8"/>
  <c r="J112" i="9"/>
  <c r="J114" i="9" s="1"/>
  <c r="J324" i="8"/>
  <c r="H112" i="13"/>
  <c r="C187" i="5"/>
  <c r="C69" i="7"/>
  <c r="B69" i="7"/>
  <c r="B195" i="5"/>
  <c r="C195" i="5"/>
  <c r="I68" i="10"/>
  <c r="F98" i="17"/>
  <c r="I68" i="7"/>
  <c r="G140" i="3"/>
  <c r="P121" i="2"/>
  <c r="K81" i="6"/>
  <c r="K240" i="8"/>
  <c r="K81" i="9"/>
  <c r="K274" i="15"/>
  <c r="G67" i="4"/>
  <c r="I23" i="8"/>
  <c r="I332" i="8"/>
  <c r="I329" i="8"/>
  <c r="D193" i="8"/>
  <c r="D73" i="9"/>
  <c r="B112" i="17"/>
  <c r="P122" i="2"/>
  <c r="I67" i="2"/>
  <c r="H28" i="6"/>
  <c r="AT24" i="18" l="1"/>
  <c r="L260" i="8"/>
  <c r="L261" i="8" s="1"/>
  <c r="L195" i="15"/>
  <c r="L196" i="15" s="1"/>
  <c r="L232" i="5"/>
  <c r="L233" i="5" s="1"/>
  <c r="M233" i="5" s="1"/>
  <c r="P164" i="2"/>
  <c r="J113" i="10"/>
  <c r="J114" i="10" s="1"/>
  <c r="K120" i="4"/>
  <c r="J184" i="8"/>
  <c r="G107" i="17" s="1"/>
  <c r="K261" i="8"/>
  <c r="M260" i="8"/>
  <c r="M195" i="15"/>
  <c r="J328" i="8"/>
  <c r="H68" i="4" s="1"/>
  <c r="K233" i="5"/>
  <c r="M196" i="15"/>
  <c r="K264" i="8"/>
  <c r="F106" i="4"/>
  <c r="H121" i="13"/>
  <c r="E91" i="6"/>
  <c r="H177" i="15"/>
  <c r="H271" i="5"/>
  <c r="H68" i="10"/>
  <c r="H95" i="6"/>
  <c r="L229" i="5"/>
  <c r="C193" i="5"/>
  <c r="H173" i="8"/>
  <c r="B99" i="17"/>
  <c r="K183" i="5"/>
  <c r="K176" i="8"/>
  <c r="K172" i="8"/>
  <c r="K182" i="5"/>
  <c r="K171" i="8"/>
  <c r="K175" i="8"/>
  <c r="K179" i="5"/>
  <c r="E151" i="8"/>
  <c r="E120" i="8"/>
  <c r="J177" i="8"/>
  <c r="G102" i="17" s="1"/>
  <c r="J69" i="9"/>
  <c r="G100" i="17"/>
  <c r="G98" i="17"/>
  <c r="J68" i="10"/>
  <c r="E148" i="4"/>
  <c r="D40" i="17"/>
  <c r="AJ19" i="18"/>
  <c r="L131" i="15"/>
  <c r="K121" i="4"/>
  <c r="E54" i="13"/>
  <c r="E56" i="13"/>
  <c r="E72" i="3"/>
  <c r="D100" i="4"/>
  <c r="D102" i="4"/>
  <c r="K136" i="13"/>
  <c r="K162" i="13" s="1"/>
  <c r="K154" i="13"/>
  <c r="D123" i="4"/>
  <c r="F112" i="4"/>
  <c r="F123" i="4"/>
  <c r="B13" i="12"/>
  <c r="A128" i="17" s="1"/>
  <c r="C13" i="12"/>
  <c r="C11" i="12"/>
  <c r="A126" i="17"/>
  <c r="F102" i="17"/>
  <c r="J263" i="5"/>
  <c r="J269" i="5"/>
  <c r="D72" i="4"/>
  <c r="F34" i="8"/>
  <c r="H345" i="8"/>
  <c r="I42" i="8"/>
  <c r="I183" i="8"/>
  <c r="I13" i="9"/>
  <c r="D133" i="4"/>
  <c r="D135" i="4"/>
  <c r="B25" i="17"/>
  <c r="E44" i="13"/>
  <c r="E60" i="13"/>
  <c r="E46" i="13"/>
  <c r="E71" i="3"/>
  <c r="I72" i="10"/>
  <c r="F110" i="17"/>
  <c r="K178" i="15"/>
  <c r="K181" i="15"/>
  <c r="K150" i="3"/>
  <c r="K156" i="3"/>
  <c r="I172" i="4"/>
  <c r="K261" i="5"/>
  <c r="I93" i="6"/>
  <c r="M228" i="5"/>
  <c r="F33" i="5"/>
  <c r="F178" i="5"/>
  <c r="F15" i="6"/>
  <c r="K157" i="3"/>
  <c r="I173" i="4"/>
  <c r="K262" i="5"/>
  <c r="I94" i="6"/>
  <c r="F196" i="4"/>
  <c r="M147" i="13"/>
  <c r="J63" i="13"/>
  <c r="J75" i="3"/>
  <c r="I28" i="6"/>
  <c r="I34" i="6"/>
  <c r="G107" i="4"/>
  <c r="G106" i="4"/>
  <c r="F16" i="18"/>
  <c r="J67" i="2"/>
  <c r="L153" i="3"/>
  <c r="M153" i="3" s="1"/>
  <c r="L313" i="8"/>
  <c r="L108" i="10" s="1"/>
  <c r="M108" i="10" s="1"/>
  <c r="L327" i="8"/>
  <c r="C176" i="15"/>
  <c r="M176" i="15"/>
  <c r="H176" i="15"/>
  <c r="I177" i="4"/>
  <c r="I178" i="4" s="1"/>
  <c r="K266" i="5"/>
  <c r="I94" i="7"/>
  <c r="J345" i="8"/>
  <c r="J349" i="8" s="1"/>
  <c r="J120" i="10"/>
  <c r="J122" i="10" s="1"/>
  <c r="K63" i="2"/>
  <c r="K102" i="2"/>
  <c r="K101" i="2"/>
  <c r="J68" i="5"/>
  <c r="J94" i="5" s="1"/>
  <c r="J92" i="5"/>
  <c r="J30" i="6"/>
  <c r="J32" i="6" s="1"/>
  <c r="K81" i="7"/>
  <c r="K241" i="8"/>
  <c r="K81" i="10"/>
  <c r="K275" i="15"/>
  <c r="J347" i="8"/>
  <c r="J32" i="4"/>
  <c r="J99" i="4"/>
  <c r="K99" i="4" s="1"/>
  <c r="J98" i="4"/>
  <c r="L42" i="13"/>
  <c r="L52" i="13"/>
  <c r="H23" i="17"/>
  <c r="BH16" i="18"/>
  <c r="J20" i="13"/>
  <c r="J21" i="13" s="1"/>
  <c r="M98" i="2" s="1"/>
  <c r="J17" i="13"/>
  <c r="N68" i="2"/>
  <c r="L107" i="10"/>
  <c r="L109" i="10" s="1"/>
  <c r="M312" i="8"/>
  <c r="I103" i="9"/>
  <c r="I303" i="8"/>
  <c r="J295" i="8"/>
  <c r="L213" i="5"/>
  <c r="L113" i="15"/>
  <c r="M113" i="15" s="1"/>
  <c r="AZ21" i="18"/>
  <c r="M81" i="7"/>
  <c r="F18" i="4"/>
  <c r="K205" i="15"/>
  <c r="K343" i="8"/>
  <c r="F122" i="9"/>
  <c r="H122" i="9" s="1"/>
  <c r="H121" i="9"/>
  <c r="J139" i="3"/>
  <c r="J252" i="5"/>
  <c r="H90" i="7" s="1"/>
  <c r="H75" i="13"/>
  <c r="H76" i="13" s="1"/>
  <c r="F55" i="17"/>
  <c r="E113" i="4"/>
  <c r="E118" i="4"/>
  <c r="E111" i="4"/>
  <c r="F122" i="4" s="1"/>
  <c r="G73" i="9"/>
  <c r="E112" i="17"/>
  <c r="K154" i="3"/>
  <c r="B193" i="5"/>
  <c r="C71" i="6"/>
  <c r="G148" i="4"/>
  <c r="E40" i="17"/>
  <c r="AL19" i="18"/>
  <c r="K138" i="3"/>
  <c r="K251" i="5"/>
  <c r="I74" i="13"/>
  <c r="G54" i="17"/>
  <c r="E180" i="5"/>
  <c r="E67" i="6"/>
  <c r="D90" i="13"/>
  <c r="F90" i="13" s="1"/>
  <c r="F88" i="13"/>
  <c r="J173" i="8"/>
  <c r="G99" i="17" s="1"/>
  <c r="J68" i="9"/>
  <c r="G97" i="17"/>
  <c r="F122" i="13"/>
  <c r="M241" i="8"/>
  <c r="H67" i="4"/>
  <c r="J23" i="8"/>
  <c r="J332" i="8"/>
  <c r="G304" i="8"/>
  <c r="G301" i="8"/>
  <c r="H304" i="8"/>
  <c r="H301" i="8"/>
  <c r="I32" i="6"/>
  <c r="G179" i="4"/>
  <c r="G182" i="4"/>
  <c r="D27" i="13"/>
  <c r="D8" i="13"/>
  <c r="D13" i="13"/>
  <c r="I134" i="13"/>
  <c r="I155" i="13"/>
  <c r="I137" i="13"/>
  <c r="G119" i="13"/>
  <c r="G122" i="13"/>
  <c r="G160" i="13"/>
  <c r="G163" i="13"/>
  <c r="G151" i="13"/>
  <c r="H163" i="13" s="1"/>
  <c r="H137" i="13"/>
  <c r="J158" i="3"/>
  <c r="J155" i="3"/>
  <c r="D181" i="8"/>
  <c r="D70" i="9"/>
  <c r="B103" i="17"/>
  <c r="E41" i="4"/>
  <c r="E160" i="4"/>
  <c r="E166" i="4"/>
  <c r="F158" i="4"/>
  <c r="E65" i="13"/>
  <c r="K316" i="8"/>
  <c r="K310" i="8"/>
  <c r="K107" i="9"/>
  <c r="L149" i="3"/>
  <c r="M149" i="3" s="1"/>
  <c r="L309" i="8"/>
  <c r="C172" i="15"/>
  <c r="C180" i="15"/>
  <c r="L323" i="8"/>
  <c r="H172" i="15"/>
  <c r="L180" i="15"/>
  <c r="M180" i="15"/>
  <c r="H180" i="15"/>
  <c r="M172" i="15"/>
  <c r="I68" i="4"/>
  <c r="K33" i="8"/>
  <c r="I96" i="5"/>
  <c r="I69" i="5"/>
  <c r="G158" i="4"/>
  <c r="E28" i="17"/>
  <c r="F20" i="18"/>
  <c r="L36" i="7"/>
  <c r="L33" i="7"/>
  <c r="M33" i="7" s="1"/>
  <c r="K43" i="13"/>
  <c r="K62" i="13"/>
  <c r="J70" i="5"/>
  <c r="J44" i="5"/>
  <c r="J52" i="5" s="1"/>
  <c r="J64" i="5"/>
  <c r="J88" i="5"/>
  <c r="J26" i="6"/>
  <c r="F99" i="17"/>
  <c r="I162" i="4"/>
  <c r="AP20" i="18"/>
  <c r="G31" i="17"/>
  <c r="M103" i="2"/>
  <c r="N103" i="2" s="1"/>
  <c r="D43" i="4"/>
  <c r="D87" i="15"/>
  <c r="C30" i="17"/>
  <c r="J87" i="15"/>
  <c r="F41" i="4"/>
  <c r="I52" i="4"/>
  <c r="F117" i="4"/>
  <c r="B114" i="17"/>
  <c r="D188" i="5"/>
  <c r="D69" i="6"/>
  <c r="G185" i="8"/>
  <c r="E108" i="17" s="1"/>
  <c r="G71" i="9"/>
  <c r="E106" i="17"/>
  <c r="G12" i="4"/>
  <c r="G53" i="4"/>
  <c r="E56" i="17"/>
  <c r="C71" i="7"/>
  <c r="B71" i="7"/>
  <c r="L199" i="15"/>
  <c r="M199" i="15" s="1"/>
  <c r="M191" i="15"/>
  <c r="G104" i="9"/>
  <c r="H104" i="9"/>
  <c r="E167" i="4"/>
  <c r="F159" i="4"/>
  <c r="A105" i="17"/>
  <c r="C201" i="8"/>
  <c r="B198" i="8"/>
  <c r="A118" i="17" s="1"/>
  <c r="C198" i="8"/>
  <c r="B201" i="8"/>
  <c r="L26" i="5"/>
  <c r="M50" i="5"/>
  <c r="F55" i="13"/>
  <c r="F50" i="13"/>
  <c r="D33" i="4"/>
  <c r="E129" i="4"/>
  <c r="D8" i="4"/>
  <c r="C22" i="17"/>
  <c r="J187" i="4"/>
  <c r="J195" i="4" s="1"/>
  <c r="K195" i="4" s="1"/>
  <c r="L67" i="5"/>
  <c r="L63" i="5"/>
  <c r="C37" i="15"/>
  <c r="L128" i="13"/>
  <c r="M128" i="13" s="1"/>
  <c r="L132" i="13"/>
  <c r="L158" i="13" s="1"/>
  <c r="M158" i="13" s="1"/>
  <c r="C45" i="15"/>
  <c r="H37" i="15"/>
  <c r="H45" i="15"/>
  <c r="L45" i="15"/>
  <c r="M37" i="15"/>
  <c r="M45" i="15"/>
  <c r="K45" i="5"/>
  <c r="K53" i="5" s="1"/>
  <c r="K71" i="5"/>
  <c r="K97" i="5" s="1"/>
  <c r="K89" i="5"/>
  <c r="K27" i="6"/>
  <c r="I161" i="13"/>
  <c r="I124" i="5"/>
  <c r="G124" i="5"/>
  <c r="H51" i="4"/>
  <c r="H174" i="4"/>
  <c r="H180" i="4"/>
  <c r="K109" i="10"/>
  <c r="H77" i="3"/>
  <c r="H75" i="3"/>
  <c r="G77" i="3"/>
  <c r="G123" i="3" s="1"/>
  <c r="H139" i="5"/>
  <c r="G139" i="5"/>
  <c r="H279" i="5"/>
  <c r="H46" i="7"/>
  <c r="G46" i="7"/>
  <c r="G279" i="5"/>
  <c r="G149" i="8"/>
  <c r="H149" i="8"/>
  <c r="G46" i="10"/>
  <c r="H46" i="10"/>
  <c r="G102" i="13"/>
  <c r="G88" i="13"/>
  <c r="I102" i="10"/>
  <c r="J298" i="8"/>
  <c r="I300" i="8"/>
  <c r="K214" i="5"/>
  <c r="K276" i="15" s="1"/>
  <c r="K242" i="8"/>
  <c r="J22" i="8"/>
  <c r="J318" i="8"/>
  <c r="J315" i="8"/>
  <c r="K330" i="8"/>
  <c r="K112" i="9"/>
  <c r="K324" i="8"/>
  <c r="I112" i="13"/>
  <c r="B17" i="12"/>
  <c r="B288" i="15"/>
  <c r="B75" i="10"/>
  <c r="C75" i="10"/>
  <c r="H185" i="8"/>
  <c r="K331" i="8"/>
  <c r="K113" i="9"/>
  <c r="I113" i="13"/>
  <c r="G36" i="6"/>
  <c r="G33" i="6"/>
  <c r="H36" i="6" s="1"/>
  <c r="B37" i="4"/>
  <c r="B150" i="4"/>
  <c r="D66" i="13"/>
  <c r="D64" i="13"/>
  <c r="D57" i="13"/>
  <c r="I46" i="5"/>
  <c r="I72" i="5"/>
  <c r="I90" i="5"/>
  <c r="K113" i="10"/>
  <c r="I117" i="13"/>
  <c r="G257" i="5"/>
  <c r="G254" i="5"/>
  <c r="J132" i="4"/>
  <c r="G24" i="17"/>
  <c r="J133" i="13"/>
  <c r="J159" i="13" s="1"/>
  <c r="J157" i="13"/>
  <c r="H56" i="4"/>
  <c r="H188" i="4"/>
  <c r="H194" i="4"/>
  <c r="E33" i="17"/>
  <c r="G91" i="15"/>
  <c r="I163" i="4"/>
  <c r="BF20" i="18"/>
  <c r="G32" i="17"/>
  <c r="M104" i="2"/>
  <c r="N104" i="2" s="1"/>
  <c r="I344" i="8"/>
  <c r="I340" i="8"/>
  <c r="I341" i="8" s="1"/>
  <c r="H71" i="4"/>
  <c r="J24" i="8"/>
  <c r="J346" i="8"/>
  <c r="F141" i="5"/>
  <c r="G123" i="5"/>
  <c r="F111" i="5"/>
  <c r="G79" i="13"/>
  <c r="C177" i="15"/>
  <c r="L154" i="3"/>
  <c r="J176" i="4"/>
  <c r="K176" i="4" s="1"/>
  <c r="L265" i="5"/>
  <c r="J93" i="7"/>
  <c r="G193" i="4"/>
  <c r="G196" i="4"/>
  <c r="J134" i="3"/>
  <c r="I136" i="3"/>
  <c r="I142" i="3"/>
  <c r="J247" i="5"/>
  <c r="H70" i="13"/>
  <c r="F51" i="17"/>
  <c r="D37" i="4"/>
  <c r="D150" i="4"/>
  <c r="I184" i="8"/>
  <c r="I13" i="10"/>
  <c r="K110" i="4"/>
  <c r="B34" i="13"/>
  <c r="B25" i="13"/>
  <c r="B32" i="13"/>
  <c r="D165" i="4"/>
  <c r="D168" i="4"/>
  <c r="F160" i="4"/>
  <c r="E31" i="4"/>
  <c r="E96" i="4"/>
  <c r="E95" i="4"/>
  <c r="G39" i="13"/>
  <c r="G49" i="13"/>
  <c r="D21" i="17"/>
  <c r="E7" i="13"/>
  <c r="F7" i="13" s="1"/>
  <c r="AJ16" i="18"/>
  <c r="E10" i="13"/>
  <c r="F10" i="13" s="1"/>
  <c r="I95" i="7"/>
  <c r="B196" i="5"/>
  <c r="M81" i="10"/>
  <c r="D104" i="13"/>
  <c r="F104" i="13" s="1"/>
  <c r="F102" i="13"/>
  <c r="K133" i="15"/>
  <c r="J68" i="7"/>
  <c r="M323" i="8"/>
  <c r="L264" i="8"/>
  <c r="M264" i="8" s="1"/>
  <c r="M256" i="8"/>
  <c r="I345" i="8"/>
  <c r="I120" i="10"/>
  <c r="L197" i="15"/>
  <c r="M200" i="15" s="1"/>
  <c r="L200" i="15"/>
  <c r="M192" i="15"/>
  <c r="K317" i="8"/>
  <c r="K108" i="9"/>
  <c r="I18" i="13"/>
  <c r="I23" i="13"/>
  <c r="J46" i="15"/>
  <c r="J43" i="15"/>
  <c r="H52" i="4"/>
  <c r="I249" i="5"/>
  <c r="M249" i="5"/>
  <c r="I255" i="5"/>
  <c r="M255" i="5"/>
  <c r="M247" i="5"/>
  <c r="K89" i="6"/>
  <c r="G89" i="6"/>
  <c r="G141" i="3"/>
  <c r="E57" i="17" s="1"/>
  <c r="H144" i="3"/>
  <c r="H141" i="3"/>
  <c r="G144" i="3"/>
  <c r="E53" i="17"/>
  <c r="L81" i="6"/>
  <c r="L240" i="8"/>
  <c r="L81" i="9"/>
  <c r="L274" i="15"/>
  <c r="M274" i="15" s="1"/>
  <c r="D71" i="4"/>
  <c r="F24" i="8"/>
  <c r="F349" i="8"/>
  <c r="F346" i="8"/>
  <c r="H341" i="8"/>
  <c r="F22" i="13"/>
  <c r="I103" i="10"/>
  <c r="J299" i="8"/>
  <c r="G192" i="8"/>
  <c r="G193" i="8" s="1"/>
  <c r="E114" i="17" s="1"/>
  <c r="G15" i="10"/>
  <c r="F56" i="17"/>
  <c r="F96" i="2"/>
  <c r="C31" i="13"/>
  <c r="E123" i="3"/>
  <c r="J76" i="15"/>
  <c r="J73" i="15"/>
  <c r="K73" i="15" s="1"/>
  <c r="I102" i="9"/>
  <c r="I302" i="8"/>
  <c r="J294" i="8"/>
  <c r="I296" i="8"/>
  <c r="H181" i="4"/>
  <c r="H151" i="13"/>
  <c r="H160" i="13"/>
  <c r="I187" i="8"/>
  <c r="I43" i="8"/>
  <c r="I14" i="9"/>
  <c r="G18" i="4"/>
  <c r="G69" i="4"/>
  <c r="H114" i="13"/>
  <c r="H120" i="13"/>
  <c r="M132" i="13"/>
  <c r="M309" i="8"/>
  <c r="G19" i="5"/>
  <c r="G51" i="5"/>
  <c r="H54" i="5" s="1"/>
  <c r="G54" i="5"/>
  <c r="I94" i="5"/>
  <c r="B16" i="12"/>
  <c r="B287" i="15"/>
  <c r="B75" i="9"/>
  <c r="C75" i="9"/>
  <c r="D11" i="13"/>
  <c r="D30" i="13"/>
  <c r="F59" i="13"/>
  <c r="F45" i="13"/>
  <c r="F65" i="13" s="1"/>
  <c r="F40" i="13"/>
  <c r="D101" i="4"/>
  <c r="E134" i="4" s="1"/>
  <c r="E128" i="4"/>
  <c r="F95" i="4"/>
  <c r="K93" i="5"/>
  <c r="K31" i="6"/>
  <c r="K97" i="2"/>
  <c r="H24" i="13"/>
  <c r="H22" i="13"/>
  <c r="E77" i="13"/>
  <c r="F80" i="13" s="1"/>
  <c r="E80" i="13"/>
  <c r="D122" i="4"/>
  <c r="D124" i="4"/>
  <c r="G189" i="8"/>
  <c r="E111" i="17" s="1"/>
  <c r="G72" i="9"/>
  <c r="H72" i="9" s="1"/>
  <c r="E109" i="17"/>
  <c r="H187" i="8"/>
  <c r="H121" i="10"/>
  <c r="F122" i="10"/>
  <c r="H122" i="10" s="1"/>
  <c r="K314" i="8"/>
  <c r="I159" i="13"/>
  <c r="G104" i="10"/>
  <c r="H104" i="10"/>
  <c r="M229" i="5"/>
  <c r="I347" i="8"/>
  <c r="I120" i="9"/>
  <c r="L148" i="3"/>
  <c r="L308" i="8"/>
  <c r="L322" i="8"/>
  <c r="M322" i="8" s="1"/>
  <c r="H171" i="15"/>
  <c r="H179" i="15"/>
  <c r="L179" i="15"/>
  <c r="C171" i="15"/>
  <c r="M173" i="15"/>
  <c r="C179" i="15"/>
  <c r="M171" i="15"/>
  <c r="H173" i="15"/>
  <c r="C173" i="15"/>
  <c r="L173" i="15"/>
  <c r="M179" i="15"/>
  <c r="K120" i="9"/>
  <c r="B145" i="4"/>
  <c r="A38" i="17"/>
  <c r="N19" i="18"/>
  <c r="C92" i="15"/>
  <c r="C95" i="15"/>
  <c r="B34" i="17"/>
  <c r="L128" i="15"/>
  <c r="M128" i="15" s="1"/>
  <c r="BJ25" i="18"/>
  <c r="P179" i="2"/>
  <c r="I77" i="3"/>
  <c r="I123" i="3" s="1"/>
  <c r="I139" i="5"/>
  <c r="I279" i="5"/>
  <c r="I281" i="5" s="1"/>
  <c r="I46" i="7"/>
  <c r="I48" i="7" s="1"/>
  <c r="I149" i="8"/>
  <c r="I46" i="10"/>
  <c r="I48" i="10" s="1"/>
  <c r="H102" i="13"/>
  <c r="H104" i="13" s="1"/>
  <c r="H88" i="13"/>
  <c r="H90" i="13" s="1"/>
  <c r="H71" i="9"/>
  <c r="K340" i="8"/>
  <c r="K341" i="8" s="1"/>
  <c r="I97" i="2"/>
  <c r="K114" i="10"/>
  <c r="I52" i="5"/>
  <c r="G159" i="4"/>
  <c r="E29" i="17"/>
  <c r="V20" i="18"/>
  <c r="I268" i="5"/>
  <c r="I271" i="5"/>
  <c r="I149" i="4"/>
  <c r="BF19" i="18"/>
  <c r="G41" i="17"/>
  <c r="K140" i="5"/>
  <c r="K280" i="5"/>
  <c r="K47" i="7"/>
  <c r="K150" i="8"/>
  <c r="K47" i="10"/>
  <c r="J103" i="13"/>
  <c r="K103" i="13" s="1"/>
  <c r="J89" i="13"/>
  <c r="K89" i="13" s="1"/>
  <c r="J131" i="4"/>
  <c r="K98" i="4"/>
  <c r="K62" i="5"/>
  <c r="K66" i="5"/>
  <c r="I186" i="4"/>
  <c r="K127" i="13"/>
  <c r="K131" i="13"/>
  <c r="K38" i="15"/>
  <c r="K44" i="15"/>
  <c r="L36" i="15"/>
  <c r="J129" i="13"/>
  <c r="J153" i="13"/>
  <c r="J135" i="13"/>
  <c r="J161" i="13" s="1"/>
  <c r="J124" i="5"/>
  <c r="H178" i="4"/>
  <c r="L257" i="8"/>
  <c r="F120" i="8"/>
  <c r="F151" i="8"/>
  <c r="F289" i="5"/>
  <c r="F7" i="12"/>
  <c r="D122" i="17" s="1"/>
  <c r="D47" i="17"/>
  <c r="F124" i="3"/>
  <c r="G72" i="10"/>
  <c r="H72" i="10" s="1"/>
  <c r="E110" i="17"/>
  <c r="H188" i="8"/>
  <c r="M248" i="5"/>
  <c r="M256" i="5"/>
  <c r="I256" i="5"/>
  <c r="G90" i="6"/>
  <c r="K90" i="6"/>
  <c r="I143" i="3"/>
  <c r="J135" i="3"/>
  <c r="J248" i="5"/>
  <c r="H71" i="13"/>
  <c r="H79" i="13" s="1"/>
  <c r="F52" i="17"/>
  <c r="L177" i="15"/>
  <c r="L112" i="10"/>
  <c r="J116" i="13"/>
  <c r="K116" i="13" s="1"/>
  <c r="G13" i="4"/>
  <c r="G58" i="4"/>
  <c r="G72" i="13"/>
  <c r="G78" i="13"/>
  <c r="H164" i="4"/>
  <c r="H42" i="4"/>
  <c r="B144" i="4"/>
  <c r="A37" i="17"/>
  <c r="BJ18" i="18"/>
  <c r="C12" i="12"/>
  <c r="A127" i="17"/>
  <c r="M252" i="5"/>
  <c r="G90" i="7"/>
  <c r="G91" i="7" s="1"/>
  <c r="K90" i="7"/>
  <c r="J348" i="8"/>
  <c r="J121" i="9"/>
  <c r="J122" i="9" s="1"/>
  <c r="G86" i="5"/>
  <c r="G98" i="5"/>
  <c r="G95" i="5"/>
  <c r="G44" i="8"/>
  <c r="K267" i="5"/>
  <c r="F95" i="2"/>
  <c r="C14" i="13"/>
  <c r="C12" i="13"/>
  <c r="C28" i="13"/>
  <c r="J253" i="5"/>
  <c r="H89" i="7"/>
  <c r="H91" i="7" s="1"/>
  <c r="J71" i="10"/>
  <c r="N98" i="2"/>
  <c r="G149" i="4"/>
  <c r="E41" i="17"/>
  <c r="BB19" i="18"/>
  <c r="C37" i="4"/>
  <c r="C150" i="4"/>
  <c r="F123" i="5"/>
  <c r="E111" i="5"/>
  <c r="E141" i="5"/>
  <c r="E123" i="5"/>
  <c r="J184" i="5"/>
  <c r="J68" i="6"/>
  <c r="J69" i="10"/>
  <c r="G101" i="17"/>
  <c r="H134" i="13"/>
  <c r="K129" i="4"/>
  <c r="F179" i="4"/>
  <c r="K93" i="7"/>
  <c r="M107" i="10" l="1"/>
  <c r="K187" i="4"/>
  <c r="H51" i="5"/>
  <c r="M36" i="7"/>
  <c r="L314" i="8"/>
  <c r="L32" i="8" s="1"/>
  <c r="F124" i="4"/>
  <c r="M313" i="8"/>
  <c r="M109" i="10"/>
  <c r="L237" i="5"/>
  <c r="J33" i="8"/>
  <c r="M232" i="5"/>
  <c r="L234" i="5"/>
  <c r="M237" i="5" s="1"/>
  <c r="J329" i="8"/>
  <c r="L236" i="5"/>
  <c r="M236" i="5" s="1"/>
  <c r="K234" i="5"/>
  <c r="K237" i="5"/>
  <c r="M261" i="8"/>
  <c r="K262" i="8"/>
  <c r="K265" i="8"/>
  <c r="L132" i="15"/>
  <c r="F77" i="13"/>
  <c r="I95" i="6"/>
  <c r="K114" i="9"/>
  <c r="K35" i="6"/>
  <c r="M197" i="15"/>
  <c r="I289" i="5"/>
  <c r="I7" i="12"/>
  <c r="F122" i="17" s="1"/>
  <c r="F47" i="17"/>
  <c r="I124" i="3"/>
  <c r="J43" i="7"/>
  <c r="J133" i="8"/>
  <c r="J42" i="10"/>
  <c r="G79" i="17"/>
  <c r="M178" i="15"/>
  <c r="H178" i="15"/>
  <c r="L178" i="15"/>
  <c r="M181" i="15"/>
  <c r="L181" i="15"/>
  <c r="C178" i="15"/>
  <c r="C181" i="15"/>
  <c r="H181" i="15"/>
  <c r="K32" i="8"/>
  <c r="M314" i="8"/>
  <c r="B18" i="12"/>
  <c r="A133" i="17" s="1"/>
  <c r="C16" i="12"/>
  <c r="C18" i="12"/>
  <c r="A131" i="17"/>
  <c r="G72" i="4"/>
  <c r="I34" i="8"/>
  <c r="J142" i="3"/>
  <c r="K134" i="3"/>
  <c r="J136" i="3"/>
  <c r="K247" i="5"/>
  <c r="I70" i="13"/>
  <c r="G51" i="17"/>
  <c r="G104" i="13"/>
  <c r="G43" i="7"/>
  <c r="H43" i="7" s="1"/>
  <c r="G133" i="8"/>
  <c r="H133" i="8" s="1"/>
  <c r="G42" i="10"/>
  <c r="H42" i="10" s="1"/>
  <c r="E79" i="17"/>
  <c r="H124" i="5"/>
  <c r="K139" i="3"/>
  <c r="K252" i="5"/>
  <c r="I90" i="7" s="1"/>
  <c r="I75" i="13"/>
  <c r="I76" i="13" s="1"/>
  <c r="G55" i="17"/>
  <c r="J149" i="4"/>
  <c r="K149" i="4" s="1"/>
  <c r="H41" i="17"/>
  <c r="BH19" i="18"/>
  <c r="H106" i="4"/>
  <c r="H112" i="4" s="1"/>
  <c r="H123" i="4" s="1"/>
  <c r="H107" i="4"/>
  <c r="H16" i="18"/>
  <c r="K67" i="2"/>
  <c r="G31" i="4"/>
  <c r="G96" i="4"/>
  <c r="G95" i="4"/>
  <c r="G7" i="13"/>
  <c r="I39" i="13"/>
  <c r="I49" i="13"/>
  <c r="E21" i="17"/>
  <c r="AL16" i="18"/>
  <c r="G10" i="13"/>
  <c r="K68" i="10"/>
  <c r="H98" i="17"/>
  <c r="I111" i="5"/>
  <c r="I141" i="5"/>
  <c r="I71" i="4"/>
  <c r="K24" i="8"/>
  <c r="L316" i="8"/>
  <c r="M316" i="8" s="1"/>
  <c r="L310" i="8"/>
  <c r="L107" i="9"/>
  <c r="C145" i="4"/>
  <c r="C153" i="4" s="1"/>
  <c r="B38" i="17"/>
  <c r="P19" i="18"/>
  <c r="H349" i="8"/>
  <c r="H346" i="8"/>
  <c r="I254" i="5"/>
  <c r="M254" i="5"/>
  <c r="I257" i="5"/>
  <c r="M257" i="5"/>
  <c r="E27" i="13"/>
  <c r="F27" i="13" s="1"/>
  <c r="E8" i="13"/>
  <c r="E13" i="13"/>
  <c r="E33" i="13" s="1"/>
  <c r="E101" i="4"/>
  <c r="G134" i="4" s="1"/>
  <c r="G128" i="4"/>
  <c r="J249" i="5"/>
  <c r="J255" i="5"/>
  <c r="H89" i="6"/>
  <c r="I121" i="9"/>
  <c r="I348" i="8"/>
  <c r="H196" i="4"/>
  <c r="H193" i="4"/>
  <c r="I118" i="13"/>
  <c r="A42" i="17"/>
  <c r="B47" i="4"/>
  <c r="I121" i="13"/>
  <c r="B22" i="12"/>
  <c r="C288" i="15"/>
  <c r="A142" i="17"/>
  <c r="I104" i="10"/>
  <c r="G281" i="5"/>
  <c r="H281" i="5"/>
  <c r="H111" i="5"/>
  <c r="G141" i="5"/>
  <c r="H141" i="5"/>
  <c r="G111" i="5"/>
  <c r="I123" i="5"/>
  <c r="I43" i="7"/>
  <c r="I133" i="8"/>
  <c r="I42" i="10"/>
  <c r="F79" i="17"/>
  <c r="L71" i="5"/>
  <c r="L97" i="5" s="1"/>
  <c r="M97" i="5" s="1"/>
  <c r="L45" i="5"/>
  <c r="L89" i="5"/>
  <c r="M89" i="5" s="1"/>
  <c r="L27" i="6"/>
  <c r="M63" i="5"/>
  <c r="E133" i="4"/>
  <c r="E135" i="4"/>
  <c r="C25" i="17"/>
  <c r="F56" i="13"/>
  <c r="F54" i="13"/>
  <c r="F72" i="3"/>
  <c r="F101" i="4"/>
  <c r="D92" i="15"/>
  <c r="C34" i="17"/>
  <c r="D95" i="15"/>
  <c r="J162" i="4"/>
  <c r="H31" i="17"/>
  <c r="AR20" i="18"/>
  <c r="J46" i="5"/>
  <c r="J90" i="5"/>
  <c r="J72" i="5"/>
  <c r="K63" i="13"/>
  <c r="K75" i="3"/>
  <c r="M308" i="8"/>
  <c r="E165" i="4"/>
  <c r="E168" i="4"/>
  <c r="B105" i="17"/>
  <c r="I151" i="13"/>
  <c r="I163" i="13"/>
  <c r="I160" i="13"/>
  <c r="D33" i="13"/>
  <c r="F33" i="13" s="1"/>
  <c r="F13" i="13"/>
  <c r="H189" i="8"/>
  <c r="K140" i="3"/>
  <c r="L138" i="3"/>
  <c r="L251" i="5"/>
  <c r="J74" i="13"/>
  <c r="H54" i="17"/>
  <c r="M154" i="3"/>
  <c r="E124" i="4"/>
  <c r="E122" i="4"/>
  <c r="F111" i="4"/>
  <c r="F113" i="4"/>
  <c r="L81" i="7"/>
  <c r="L241" i="8"/>
  <c r="L81" i="10"/>
  <c r="L275" i="15"/>
  <c r="M275" i="15" s="1"/>
  <c r="J77" i="3"/>
  <c r="J139" i="5"/>
  <c r="J123" i="5" s="1"/>
  <c r="J279" i="5"/>
  <c r="J281" i="5" s="1"/>
  <c r="J46" i="7"/>
  <c r="J48" i="7" s="1"/>
  <c r="J149" i="8"/>
  <c r="J46" i="10"/>
  <c r="J48" i="10" s="1"/>
  <c r="I102" i="13"/>
  <c r="I104" i="13" s="1"/>
  <c r="I88" i="13"/>
  <c r="I90" i="13" s="1"/>
  <c r="M71" i="5"/>
  <c r="K263" i="5"/>
  <c r="K269" i="5"/>
  <c r="F72" i="4"/>
  <c r="E80" i="3"/>
  <c r="E136" i="5"/>
  <c r="E47" i="6"/>
  <c r="E276" i="5"/>
  <c r="E284" i="5" s="1"/>
  <c r="E146" i="8"/>
  <c r="E154" i="8" s="1"/>
  <c r="E47" i="9"/>
  <c r="D99" i="13"/>
  <c r="D85" i="13"/>
  <c r="L203" i="15"/>
  <c r="M131" i="15"/>
  <c r="K177" i="8"/>
  <c r="K69" i="9"/>
  <c r="H100" i="17"/>
  <c r="K69" i="10"/>
  <c r="H101" i="17"/>
  <c r="J143" i="3"/>
  <c r="K135" i="3"/>
  <c r="K248" i="5"/>
  <c r="I71" i="13"/>
  <c r="I79" i="13" s="1"/>
  <c r="G52" i="17"/>
  <c r="J186" i="4"/>
  <c r="L62" i="5"/>
  <c r="L66" i="5"/>
  <c r="M66" i="5" s="1"/>
  <c r="L127" i="13"/>
  <c r="L131" i="13"/>
  <c r="H36" i="15"/>
  <c r="C36" i="15"/>
  <c r="H44" i="15"/>
  <c r="L44" i="15"/>
  <c r="C38" i="15"/>
  <c r="M44" i="15"/>
  <c r="M36" i="15"/>
  <c r="M38" i="15"/>
  <c r="C44" i="15"/>
  <c r="H38" i="15"/>
  <c r="L38" i="15"/>
  <c r="H148" i="4"/>
  <c r="AN19" i="18"/>
  <c r="F40" i="17"/>
  <c r="J296" i="8"/>
  <c r="J102" i="9"/>
  <c r="J302" i="8"/>
  <c r="K294" i="8"/>
  <c r="K124" i="5"/>
  <c r="D19" i="4"/>
  <c r="D73" i="4"/>
  <c r="F71" i="4"/>
  <c r="H39" i="13"/>
  <c r="G40" i="13"/>
  <c r="G45" i="13"/>
  <c r="G59" i="13"/>
  <c r="H40" i="13"/>
  <c r="H45" i="13"/>
  <c r="H59" i="13"/>
  <c r="I71" i="10"/>
  <c r="F107" i="17"/>
  <c r="G151" i="8"/>
  <c r="G120" i="8"/>
  <c r="H151" i="8"/>
  <c r="H120" i="8"/>
  <c r="L15" i="7"/>
  <c r="M15" i="7" s="1"/>
  <c r="C167" i="13"/>
  <c r="C175" i="13"/>
  <c r="M26" i="5"/>
  <c r="F94" i="15"/>
  <c r="F167" i="4"/>
  <c r="J94" i="15"/>
  <c r="K120" i="10"/>
  <c r="K122" i="10" s="1"/>
  <c r="K345" i="8"/>
  <c r="K349" i="8" s="1"/>
  <c r="L113" i="10"/>
  <c r="M113" i="10" s="1"/>
  <c r="J117" i="13"/>
  <c r="J118" i="13" s="1"/>
  <c r="M327" i="8"/>
  <c r="I36" i="6"/>
  <c r="I33" i="6"/>
  <c r="E37" i="4"/>
  <c r="F37" i="4" s="1"/>
  <c r="E150" i="4"/>
  <c r="F150" i="4" s="1"/>
  <c r="K46" i="15"/>
  <c r="K43" i="15"/>
  <c r="G167" i="4"/>
  <c r="F106" i="5"/>
  <c r="F125" i="5"/>
  <c r="F42" i="7"/>
  <c r="F44" i="7" s="1"/>
  <c r="F132" i="8"/>
  <c r="F41" i="10"/>
  <c r="F43" i="10" s="1"/>
  <c r="D78" i="17"/>
  <c r="C32" i="13"/>
  <c r="C34" i="13"/>
  <c r="C25" i="13"/>
  <c r="H98" i="5"/>
  <c r="H86" i="5"/>
  <c r="H95" i="5"/>
  <c r="B36" i="4"/>
  <c r="B146" i="4"/>
  <c r="B152" i="4"/>
  <c r="L114" i="15"/>
  <c r="L114" i="10"/>
  <c r="M114" i="10" s="1"/>
  <c r="L262" i="8"/>
  <c r="L265" i="8"/>
  <c r="M257" i="8"/>
  <c r="L63" i="2"/>
  <c r="L101" i="2"/>
  <c r="L102" i="2"/>
  <c r="K92" i="5"/>
  <c r="K30" i="6"/>
  <c r="K68" i="5"/>
  <c r="I151" i="8"/>
  <c r="I120" i="8"/>
  <c r="L156" i="3"/>
  <c r="L150" i="3"/>
  <c r="J172" i="4"/>
  <c r="K172" i="4" s="1"/>
  <c r="J93" i="6"/>
  <c r="L261" i="5"/>
  <c r="G71" i="4"/>
  <c r="I349" i="8"/>
  <c r="I24" i="8"/>
  <c r="I346" i="8"/>
  <c r="G33" i="5"/>
  <c r="H33" i="5" s="1"/>
  <c r="G178" i="5"/>
  <c r="H178" i="5" s="1"/>
  <c r="G15" i="6"/>
  <c r="H15" i="6" s="1"/>
  <c r="H19" i="5"/>
  <c r="I104" i="9"/>
  <c r="E289" i="5"/>
  <c r="E7" i="12"/>
  <c r="C122" i="17" s="1"/>
  <c r="C47" i="17"/>
  <c r="E124" i="3"/>
  <c r="G73" i="10"/>
  <c r="E113" i="17"/>
  <c r="K20" i="13"/>
  <c r="E102" i="4"/>
  <c r="E100" i="4"/>
  <c r="F102" i="4" s="1"/>
  <c r="C42" i="17"/>
  <c r="D47" i="4"/>
  <c r="M265" i="5"/>
  <c r="I121" i="10"/>
  <c r="H13" i="4"/>
  <c r="H58" i="4"/>
  <c r="I54" i="5"/>
  <c r="I51" i="5"/>
  <c r="I19" i="5"/>
  <c r="C17" i="12"/>
  <c r="A132" i="17"/>
  <c r="I114" i="13"/>
  <c r="I120" i="13"/>
  <c r="H48" i="10"/>
  <c r="G48" i="10"/>
  <c r="G48" i="7"/>
  <c r="H48" i="7"/>
  <c r="L93" i="5"/>
  <c r="M93" i="5" s="1"/>
  <c r="L31" i="6"/>
  <c r="M31" i="6" s="1"/>
  <c r="M67" i="5"/>
  <c r="G41" i="4"/>
  <c r="G160" i="4"/>
  <c r="G166" i="4"/>
  <c r="L113" i="9"/>
  <c r="M113" i="9" s="1"/>
  <c r="L331" i="8"/>
  <c r="J113" i="13"/>
  <c r="L108" i="9"/>
  <c r="M108" i="9" s="1"/>
  <c r="L317" i="8"/>
  <c r="M317" i="8" s="1"/>
  <c r="K109" i="9"/>
  <c r="M107" i="9"/>
  <c r="E43" i="4"/>
  <c r="D30" i="17"/>
  <c r="F87" i="15"/>
  <c r="G95" i="2"/>
  <c r="D14" i="13"/>
  <c r="D28" i="13"/>
  <c r="D12" i="13"/>
  <c r="J187" i="8"/>
  <c r="J43" i="8"/>
  <c r="J14" i="9"/>
  <c r="K74" i="13"/>
  <c r="K91" i="7"/>
  <c r="K295" i="8"/>
  <c r="J103" i="9"/>
  <c r="J303" i="8"/>
  <c r="J95" i="15"/>
  <c r="H158" i="4"/>
  <c r="H20" i="18"/>
  <c r="F28" i="17"/>
  <c r="H72" i="4"/>
  <c r="J34" i="8"/>
  <c r="J44" i="8" s="1"/>
  <c r="G112" i="4"/>
  <c r="K270" i="5"/>
  <c r="I51" i="4"/>
  <c r="I174" i="4"/>
  <c r="I180" i="4"/>
  <c r="E57" i="13"/>
  <c r="E66" i="13"/>
  <c r="E64" i="13"/>
  <c r="F96" i="4"/>
  <c r="H33" i="6"/>
  <c r="M234" i="5"/>
  <c r="K173" i="8"/>
  <c r="K68" i="9"/>
  <c r="H97" i="17"/>
  <c r="K68" i="7"/>
  <c r="B42" i="17"/>
  <c r="C47" i="4"/>
  <c r="C144" i="4"/>
  <c r="B37" i="17"/>
  <c r="BL18" i="18"/>
  <c r="F294" i="5"/>
  <c r="D96" i="7"/>
  <c r="C61" i="17"/>
  <c r="K129" i="13"/>
  <c r="K153" i="13"/>
  <c r="K135" i="13"/>
  <c r="K299" i="8"/>
  <c r="J103" i="10"/>
  <c r="H72" i="13"/>
  <c r="H78" i="13"/>
  <c r="J163" i="4"/>
  <c r="K163" i="4" s="1"/>
  <c r="H32" i="17"/>
  <c r="BH20" i="18"/>
  <c r="J42" i="8"/>
  <c r="J183" i="8"/>
  <c r="J13" i="9"/>
  <c r="J300" i="8"/>
  <c r="J102" i="10"/>
  <c r="J104" i="10" s="1"/>
  <c r="K298" i="8"/>
  <c r="H12" i="4"/>
  <c r="H53" i="4"/>
  <c r="H123" i="3"/>
  <c r="G289" i="5"/>
  <c r="H289" i="5"/>
  <c r="G7" i="12"/>
  <c r="E47" i="17"/>
  <c r="G124" i="3"/>
  <c r="I42" i="4"/>
  <c r="I164" i="4"/>
  <c r="K162" i="4"/>
  <c r="I86" i="5"/>
  <c r="I98" i="5"/>
  <c r="I95" i="5"/>
  <c r="F93" i="15"/>
  <c r="J93" i="15"/>
  <c r="J140" i="3"/>
  <c r="G37" i="4"/>
  <c r="G150" i="4"/>
  <c r="C186" i="13"/>
  <c r="C197" i="13"/>
  <c r="L13" i="10"/>
  <c r="M43" i="13"/>
  <c r="L62" i="13"/>
  <c r="M62" i="13"/>
  <c r="M42" i="13"/>
  <c r="L43" i="13"/>
  <c r="J14" i="10"/>
  <c r="J188" i="8"/>
  <c r="K158" i="3"/>
  <c r="K155" i="3"/>
  <c r="F15" i="10"/>
  <c r="H15" i="10" s="1"/>
  <c r="F192" i="8"/>
  <c r="H34" i="8"/>
  <c r="K67" i="7"/>
  <c r="F166" i="4"/>
  <c r="I56" i="4"/>
  <c r="I188" i="4"/>
  <c r="I194" i="4"/>
  <c r="K186" i="4"/>
  <c r="E106" i="5"/>
  <c r="E125" i="5"/>
  <c r="E42" i="7"/>
  <c r="E132" i="8"/>
  <c r="C78" i="17"/>
  <c r="E41" i="10"/>
  <c r="H123" i="5"/>
  <c r="H91" i="15"/>
  <c r="F33" i="17"/>
  <c r="G80" i="13"/>
  <c r="G77" i="13"/>
  <c r="L328" i="8"/>
  <c r="J256" i="5"/>
  <c r="H90" i="6"/>
  <c r="J137" i="13"/>
  <c r="J134" i="13"/>
  <c r="J155" i="13"/>
  <c r="K133" i="13"/>
  <c r="K159" i="13" s="1"/>
  <c r="K157" i="13"/>
  <c r="M131" i="13"/>
  <c r="K44" i="5"/>
  <c r="K70" i="5"/>
  <c r="K64" i="5"/>
  <c r="K88" i="5"/>
  <c r="K26" i="6"/>
  <c r="M112" i="10"/>
  <c r="K348" i="8"/>
  <c r="K121" i="9"/>
  <c r="K122" i="9" s="1"/>
  <c r="B153" i="4"/>
  <c r="K347" i="8"/>
  <c r="L324" i="8"/>
  <c r="L330" i="8"/>
  <c r="M330" i="8" s="1"/>
  <c r="L112" i="9"/>
  <c r="J112" i="13"/>
  <c r="F46" i="13"/>
  <c r="F60" i="13"/>
  <c r="F44" i="13"/>
  <c r="F71" i="3"/>
  <c r="G96" i="2"/>
  <c r="D31" i="13"/>
  <c r="B21" i="12"/>
  <c r="B289" i="15"/>
  <c r="A143" i="17" s="1"/>
  <c r="C287" i="15"/>
  <c r="C289" i="15"/>
  <c r="A141" i="17"/>
  <c r="H119" i="13"/>
  <c r="H122" i="13"/>
  <c r="I189" i="8"/>
  <c r="I72" i="9"/>
  <c r="F109" i="17"/>
  <c r="I301" i="8"/>
  <c r="I304" i="8"/>
  <c r="L129" i="15"/>
  <c r="F44" i="8"/>
  <c r="H44" i="8" s="1"/>
  <c r="F191" i="8"/>
  <c r="F15" i="9"/>
  <c r="H15" i="9" s="1"/>
  <c r="H24" i="8"/>
  <c r="G91" i="6"/>
  <c r="K91" i="6"/>
  <c r="L97" i="2"/>
  <c r="I22" i="13"/>
  <c r="I24" i="13"/>
  <c r="K21" i="13"/>
  <c r="E30" i="13"/>
  <c r="F30" i="13" s="1"/>
  <c r="E11" i="13"/>
  <c r="F11" i="13" s="1"/>
  <c r="H49" i="13"/>
  <c r="G50" i="13"/>
  <c r="G55" i="13"/>
  <c r="H50" i="13"/>
  <c r="H55" i="13"/>
  <c r="E8" i="4"/>
  <c r="E33" i="4"/>
  <c r="F33" i="4" s="1"/>
  <c r="G129" i="4"/>
  <c r="D22" i="17"/>
  <c r="F31" i="4"/>
  <c r="F168" i="4"/>
  <c r="F165" i="4"/>
  <c r="I144" i="3"/>
  <c r="I141" i="3"/>
  <c r="F57" i="17" s="1"/>
  <c r="F53" i="17"/>
  <c r="G125" i="5"/>
  <c r="G106" i="5"/>
  <c r="G42" i="7"/>
  <c r="G44" i="7" s="1"/>
  <c r="G132" i="8"/>
  <c r="G41" i="10"/>
  <c r="G43" i="10" s="1"/>
  <c r="E78" i="17"/>
  <c r="J191" i="8"/>
  <c r="J15" i="9"/>
  <c r="K76" i="15"/>
  <c r="F148" i="4"/>
  <c r="M331" i="8"/>
  <c r="I67" i="4"/>
  <c r="K23" i="8"/>
  <c r="K329" i="8"/>
  <c r="K332" i="8"/>
  <c r="G90" i="13"/>
  <c r="H179" i="4"/>
  <c r="H182" i="4"/>
  <c r="L136" i="13"/>
  <c r="L154" i="13"/>
  <c r="M154" i="13" s="1"/>
  <c r="K134" i="4"/>
  <c r="J28" i="6"/>
  <c r="J34" i="6"/>
  <c r="J69" i="5"/>
  <c r="J96" i="5"/>
  <c r="K188" i="8"/>
  <c r="K14" i="10"/>
  <c r="L157" i="3"/>
  <c r="M157" i="3" s="1"/>
  <c r="J173" i="4"/>
  <c r="L262" i="5"/>
  <c r="J94" i="6"/>
  <c r="K94" i="6" s="1"/>
  <c r="K22" i="8"/>
  <c r="K318" i="8"/>
  <c r="K315" i="8"/>
  <c r="M310" i="8"/>
  <c r="H69" i="4"/>
  <c r="H18" i="4"/>
  <c r="K253" i="5"/>
  <c r="I89" i="7"/>
  <c r="I91" i="7" s="1"/>
  <c r="J23" i="13"/>
  <c r="K23" i="13" s="1"/>
  <c r="J18" i="13"/>
  <c r="K17" i="13"/>
  <c r="M53" i="13"/>
  <c r="M52" i="13"/>
  <c r="L53" i="13"/>
  <c r="L76" i="3" s="1"/>
  <c r="H24" i="17"/>
  <c r="K32" i="4"/>
  <c r="H159" i="4"/>
  <c r="H167" i="4" s="1"/>
  <c r="H94" i="15" s="1"/>
  <c r="X20" i="18"/>
  <c r="F29" i="17"/>
  <c r="J177" i="4"/>
  <c r="J178" i="4" s="1"/>
  <c r="K178" i="4" s="1"/>
  <c r="L266" i="5"/>
  <c r="L267" i="5" s="1"/>
  <c r="M267" i="5" s="1"/>
  <c r="J94" i="7"/>
  <c r="K94" i="7" s="1"/>
  <c r="G111" i="4"/>
  <c r="G118" i="4"/>
  <c r="G113" i="4"/>
  <c r="I181" i="4"/>
  <c r="F180" i="5"/>
  <c r="F67" i="6"/>
  <c r="M148" i="3"/>
  <c r="M156" i="3"/>
  <c r="E73" i="3"/>
  <c r="E79" i="3"/>
  <c r="E135" i="5"/>
  <c r="E46" i="6"/>
  <c r="E275" i="5"/>
  <c r="E145" i="8"/>
  <c r="D84" i="13"/>
  <c r="E46" i="9"/>
  <c r="E48" i="9" s="1"/>
  <c r="D98" i="13"/>
  <c r="I185" i="8"/>
  <c r="I71" i="9"/>
  <c r="F106" i="17"/>
  <c r="J268" i="5"/>
  <c r="J271" i="5"/>
  <c r="K184" i="5"/>
  <c r="K68" i="6"/>
  <c r="L279" i="15"/>
  <c r="K128" i="4"/>
  <c r="K112" i="13"/>
  <c r="E48" i="6" l="1"/>
  <c r="L114" i="9"/>
  <c r="M114" i="9" s="1"/>
  <c r="J95" i="6"/>
  <c r="K95" i="6" s="1"/>
  <c r="M266" i="5"/>
  <c r="L35" i="6"/>
  <c r="M35" i="6" s="1"/>
  <c r="K346" i="8"/>
  <c r="L204" i="15"/>
  <c r="M132" i="15"/>
  <c r="J106" i="5"/>
  <c r="J125" i="5"/>
  <c r="J42" i="7"/>
  <c r="J44" i="7" s="1"/>
  <c r="J132" i="8"/>
  <c r="J41" i="10"/>
  <c r="J43" i="10" s="1"/>
  <c r="G78" i="17"/>
  <c r="J52" i="4"/>
  <c r="K52" i="4" s="1"/>
  <c r="C36" i="4"/>
  <c r="C152" i="4"/>
  <c r="C146" i="4"/>
  <c r="G43" i="4"/>
  <c r="E30" i="17"/>
  <c r="G87" i="15"/>
  <c r="I119" i="13"/>
  <c r="I122" i="13"/>
  <c r="K94" i="5"/>
  <c r="H44" i="13"/>
  <c r="G46" i="13"/>
  <c r="G60" i="13"/>
  <c r="H46" i="13"/>
  <c r="H60" i="13"/>
  <c r="G44" i="13"/>
  <c r="G71" i="3"/>
  <c r="M279" i="15"/>
  <c r="L176" i="8"/>
  <c r="L172" i="8"/>
  <c r="L183" i="5"/>
  <c r="L182" i="5"/>
  <c r="L171" i="8"/>
  <c r="L175" i="8"/>
  <c r="D100" i="13"/>
  <c r="D106" i="13"/>
  <c r="E283" i="5"/>
  <c r="E277" i="5"/>
  <c r="E81" i="3"/>
  <c r="E120" i="3"/>
  <c r="G122" i="4"/>
  <c r="G124" i="4"/>
  <c r="G133" i="4"/>
  <c r="G135" i="4"/>
  <c r="D25" i="17"/>
  <c r="K133" i="4"/>
  <c r="H54" i="13"/>
  <c r="G56" i="13"/>
  <c r="H56" i="13"/>
  <c r="G54" i="13"/>
  <c r="G72" i="3"/>
  <c r="L133" i="15"/>
  <c r="M129" i="15"/>
  <c r="L130" i="15"/>
  <c r="K96" i="5"/>
  <c r="K69" i="5"/>
  <c r="E43" i="10"/>
  <c r="H43" i="10" s="1"/>
  <c r="H41" i="10"/>
  <c r="H125" i="5"/>
  <c r="I193" i="4"/>
  <c r="I196" i="4"/>
  <c r="F73" i="10"/>
  <c r="H73" i="10" s="1"/>
  <c r="D113" i="17"/>
  <c r="H192" i="8"/>
  <c r="G294" i="5"/>
  <c r="E96" i="7"/>
  <c r="D61" i="17"/>
  <c r="L298" i="8"/>
  <c r="K300" i="8"/>
  <c r="K102" i="10"/>
  <c r="J185" i="8"/>
  <c r="G108" i="17" s="1"/>
  <c r="J71" i="9"/>
  <c r="G106" i="17"/>
  <c r="C62" i="4"/>
  <c r="E25" i="5"/>
  <c r="E29" i="5"/>
  <c r="E35" i="8"/>
  <c r="E28" i="8"/>
  <c r="E27" i="12"/>
  <c r="B147" i="17" s="1"/>
  <c r="B66" i="17"/>
  <c r="H99" i="17"/>
  <c r="J189" i="8"/>
  <c r="G111" i="17" s="1"/>
  <c r="J72" i="9"/>
  <c r="G109" i="17"/>
  <c r="F95" i="15"/>
  <c r="D34" i="17"/>
  <c r="F92" i="15"/>
  <c r="F43" i="4"/>
  <c r="J92" i="15"/>
  <c r="G93" i="15"/>
  <c r="K93" i="6"/>
  <c r="D62" i="4"/>
  <c r="F25" i="5"/>
  <c r="F29" i="5"/>
  <c r="F28" i="8"/>
  <c r="F35" i="8"/>
  <c r="F27" i="12"/>
  <c r="C147" i="17" s="1"/>
  <c r="C66" i="17"/>
  <c r="G180" i="5"/>
  <c r="H180" i="5" s="1"/>
  <c r="G67" i="6"/>
  <c r="H67" i="6" s="1"/>
  <c r="J51" i="4"/>
  <c r="J180" i="4"/>
  <c r="J174" i="4"/>
  <c r="K32" i="6"/>
  <c r="I107" i="4"/>
  <c r="I106" i="4"/>
  <c r="J16" i="18"/>
  <c r="L67" i="2"/>
  <c r="F115" i="8"/>
  <c r="F134" i="8"/>
  <c r="G94" i="15"/>
  <c r="H73" i="4"/>
  <c r="F19" i="4"/>
  <c r="J104" i="9"/>
  <c r="H37" i="4"/>
  <c r="H150" i="4"/>
  <c r="L68" i="5"/>
  <c r="L94" i="5" s="1"/>
  <c r="L92" i="5"/>
  <c r="M92" i="5" s="1"/>
  <c r="L30" i="6"/>
  <c r="L32" i="6" s="1"/>
  <c r="D107" i="13"/>
  <c r="J42" i="4"/>
  <c r="H33" i="17" s="1"/>
  <c r="J164" i="4"/>
  <c r="K164" i="4" s="1"/>
  <c r="F100" i="4"/>
  <c r="J95" i="7"/>
  <c r="K95" i="7" s="1"/>
  <c r="L109" i="9"/>
  <c r="G8" i="13"/>
  <c r="G13" i="13"/>
  <c r="G27" i="13"/>
  <c r="I72" i="13"/>
  <c r="I78" i="13"/>
  <c r="E153" i="8"/>
  <c r="E119" i="8"/>
  <c r="E121" i="8" s="1"/>
  <c r="E147" i="8"/>
  <c r="M97" i="2"/>
  <c r="J22" i="13"/>
  <c r="K22" i="13" s="1"/>
  <c r="J24" i="13"/>
  <c r="G28" i="5"/>
  <c r="G31" i="8"/>
  <c r="E80" i="17"/>
  <c r="K46" i="5"/>
  <c r="K90" i="5"/>
  <c r="K72" i="5"/>
  <c r="K161" i="13"/>
  <c r="G123" i="4"/>
  <c r="I33" i="5"/>
  <c r="I178" i="5"/>
  <c r="I15" i="6"/>
  <c r="M265" i="8"/>
  <c r="M262" i="8"/>
  <c r="B38" i="4"/>
  <c r="A39" i="17"/>
  <c r="B46" i="4"/>
  <c r="F28" i="5"/>
  <c r="F31" i="8"/>
  <c r="D80" i="17"/>
  <c r="F73" i="4"/>
  <c r="M63" i="2"/>
  <c r="M102" i="2"/>
  <c r="M101" i="2"/>
  <c r="K271" i="5"/>
  <c r="K268" i="5"/>
  <c r="J120" i="8"/>
  <c r="J151" i="8"/>
  <c r="H56" i="17"/>
  <c r="B62" i="4"/>
  <c r="D25" i="5"/>
  <c r="D29" i="5"/>
  <c r="D35" i="8"/>
  <c r="D28" i="8"/>
  <c r="D27" i="12"/>
  <c r="A66" i="17"/>
  <c r="H95" i="2"/>
  <c r="E12" i="13"/>
  <c r="E28" i="13"/>
  <c r="F28" i="13" s="1"/>
  <c r="E14" i="13"/>
  <c r="G30" i="13"/>
  <c r="G11" i="13"/>
  <c r="I40" i="13"/>
  <c r="I45" i="13"/>
  <c r="I59" i="13"/>
  <c r="G33" i="4"/>
  <c r="G8" i="4"/>
  <c r="H129" i="4"/>
  <c r="E22" i="17"/>
  <c r="H111" i="4"/>
  <c r="H113" i="4"/>
  <c r="H118" i="4"/>
  <c r="K142" i="3"/>
  <c r="K136" i="3"/>
  <c r="L134" i="3"/>
  <c r="L247" i="5"/>
  <c r="H51" i="17"/>
  <c r="J70" i="13"/>
  <c r="K70" i="13" s="1"/>
  <c r="I294" i="5"/>
  <c r="G96" i="7"/>
  <c r="E61" i="17"/>
  <c r="L270" i="5"/>
  <c r="M270" i="5" s="1"/>
  <c r="M262" i="5"/>
  <c r="K72" i="10"/>
  <c r="H110" i="17"/>
  <c r="J36" i="6"/>
  <c r="J33" i="6"/>
  <c r="L162" i="13"/>
  <c r="M162" i="13" s="1"/>
  <c r="M136" i="13"/>
  <c r="K43" i="8"/>
  <c r="K187" i="8"/>
  <c r="K14" i="9"/>
  <c r="J73" i="9"/>
  <c r="G112" i="17"/>
  <c r="G115" i="8"/>
  <c r="G134" i="8"/>
  <c r="I148" i="4"/>
  <c r="AP19" i="18"/>
  <c r="G40" i="17"/>
  <c r="D145" i="4"/>
  <c r="R19" i="18"/>
  <c r="C38" i="17"/>
  <c r="I122" i="9"/>
  <c r="J67" i="4"/>
  <c r="L23" i="8"/>
  <c r="M23" i="8" s="1"/>
  <c r="L332" i="8"/>
  <c r="L329" i="8"/>
  <c r="M329" i="8" s="1"/>
  <c r="M324" i="8"/>
  <c r="K34" i="6"/>
  <c r="K28" i="6"/>
  <c r="K52" i="5"/>
  <c r="E28" i="5"/>
  <c r="E31" i="8"/>
  <c r="C80" i="17"/>
  <c r="H106" i="5"/>
  <c r="I13" i="4"/>
  <c r="I58" i="4"/>
  <c r="L63" i="13"/>
  <c r="M63" i="13"/>
  <c r="L75" i="3"/>
  <c r="L184" i="8"/>
  <c r="E42" i="17"/>
  <c r="G47" i="4"/>
  <c r="L299" i="8"/>
  <c r="K103" i="10"/>
  <c r="K137" i="13"/>
  <c r="K134" i="13"/>
  <c r="K155" i="13"/>
  <c r="K180" i="4"/>
  <c r="J192" i="8"/>
  <c r="J15" i="10"/>
  <c r="H41" i="4"/>
  <c r="H160" i="4"/>
  <c r="H166" i="4"/>
  <c r="H93" i="15" s="1"/>
  <c r="K303" i="8"/>
  <c r="L295" i="8"/>
  <c r="K103" i="9"/>
  <c r="F8" i="13"/>
  <c r="D144" i="4"/>
  <c r="B19" i="18"/>
  <c r="C37" i="17"/>
  <c r="J121" i="13"/>
  <c r="K113" i="13"/>
  <c r="G165" i="4"/>
  <c r="G168" i="4"/>
  <c r="G19" i="4"/>
  <c r="G73" i="4"/>
  <c r="L155" i="3"/>
  <c r="M158" i="3" s="1"/>
  <c r="L158" i="3"/>
  <c r="B154" i="4"/>
  <c r="B151" i="4"/>
  <c r="I72" i="4"/>
  <c r="K34" i="8"/>
  <c r="K44" i="8" s="1"/>
  <c r="H19" i="4"/>
  <c r="K43" i="7"/>
  <c r="K133" i="8"/>
  <c r="K42" i="10"/>
  <c r="H79" i="17"/>
  <c r="J304" i="8"/>
  <c r="J301" i="8"/>
  <c r="L44" i="5"/>
  <c r="L52" i="5" s="1"/>
  <c r="L64" i="5"/>
  <c r="L88" i="5"/>
  <c r="M88" i="5" s="1"/>
  <c r="L70" i="5"/>
  <c r="M70" i="5" s="1"/>
  <c r="L26" i="6"/>
  <c r="M62" i="5"/>
  <c r="K256" i="5"/>
  <c r="I90" i="6"/>
  <c r="L205" i="15"/>
  <c r="M205" i="15" s="1"/>
  <c r="L343" i="8"/>
  <c r="M203" i="15"/>
  <c r="L339" i="8"/>
  <c r="E144" i="5"/>
  <c r="E120" i="5"/>
  <c r="J89" i="7"/>
  <c r="K77" i="3"/>
  <c r="K123" i="3" s="1"/>
  <c r="K139" i="5"/>
  <c r="K123" i="5" s="1"/>
  <c r="K279" i="5"/>
  <c r="K281" i="5" s="1"/>
  <c r="K46" i="7"/>
  <c r="K48" i="7" s="1"/>
  <c r="K149" i="8"/>
  <c r="K46" i="10"/>
  <c r="K48" i="10" s="1"/>
  <c r="J88" i="13"/>
  <c r="J102" i="13"/>
  <c r="J104" i="13" s="1"/>
  <c r="K104" i="13" s="1"/>
  <c r="J19" i="5"/>
  <c r="J54" i="5"/>
  <c r="J51" i="5"/>
  <c r="K135" i="4"/>
  <c r="L53" i="5"/>
  <c r="M53" i="5" s="1"/>
  <c r="M45" i="5"/>
  <c r="C22" i="12"/>
  <c r="A137" i="17"/>
  <c r="H91" i="6"/>
  <c r="L22" i="8"/>
  <c r="L315" i="8"/>
  <c r="M318" i="8" s="1"/>
  <c r="L318" i="8"/>
  <c r="K191" i="8"/>
  <c r="K15" i="9"/>
  <c r="H128" i="4"/>
  <c r="G101" i="4"/>
  <c r="H95" i="4"/>
  <c r="H96" i="4"/>
  <c r="H31" i="4"/>
  <c r="J39" i="13"/>
  <c r="J49" i="13"/>
  <c r="F21" i="17"/>
  <c r="AN16" i="18"/>
  <c r="H7" i="13"/>
  <c r="H10" i="13"/>
  <c r="K255" i="5"/>
  <c r="K249" i="5"/>
  <c r="I89" i="6"/>
  <c r="K184" i="8"/>
  <c r="K13" i="10"/>
  <c r="M13" i="10" s="1"/>
  <c r="M32" i="8"/>
  <c r="M315" i="8"/>
  <c r="K117" i="13"/>
  <c r="M150" i="3"/>
  <c r="E78" i="3"/>
  <c r="M76" i="3"/>
  <c r="L140" i="5"/>
  <c r="L124" i="5" s="1"/>
  <c r="M124" i="5" s="1"/>
  <c r="M140" i="5"/>
  <c r="L280" i="5"/>
  <c r="L47" i="7"/>
  <c r="M280" i="5"/>
  <c r="M47" i="7"/>
  <c r="L150" i="8"/>
  <c r="M150" i="8"/>
  <c r="M47" i="10"/>
  <c r="L47" i="10"/>
  <c r="C162" i="15"/>
  <c r="K42" i="8"/>
  <c r="K183" i="8"/>
  <c r="K13" i="9"/>
  <c r="J86" i="5"/>
  <c r="J98" i="5"/>
  <c r="J95" i="5"/>
  <c r="B23" i="12"/>
  <c r="A138" i="17" s="1"/>
  <c r="C23" i="12"/>
  <c r="C21" i="12"/>
  <c r="A136" i="17"/>
  <c r="F64" i="13"/>
  <c r="F57" i="13"/>
  <c r="F66" i="13"/>
  <c r="E44" i="7"/>
  <c r="H44" i="7" s="1"/>
  <c r="H42" i="7"/>
  <c r="I12" i="4"/>
  <c r="I53" i="4"/>
  <c r="M112" i="9"/>
  <c r="I158" i="4"/>
  <c r="J20" i="18"/>
  <c r="G28" i="17"/>
  <c r="L214" i="5"/>
  <c r="L276" i="15" s="1"/>
  <c r="M276" i="15" s="1"/>
  <c r="L242" i="8"/>
  <c r="M214" i="5"/>
  <c r="M114" i="15"/>
  <c r="M242" i="8"/>
  <c r="L135" i="13"/>
  <c r="L161" i="13" s="1"/>
  <c r="L129" i="13"/>
  <c r="L153" i="13"/>
  <c r="M153" i="13" s="1"/>
  <c r="K177" i="4"/>
  <c r="D93" i="13"/>
  <c r="J257" i="5"/>
  <c r="J254" i="5"/>
  <c r="L139" i="3"/>
  <c r="L252" i="5"/>
  <c r="J90" i="7" s="1"/>
  <c r="J75" i="13"/>
  <c r="J76" i="13" s="1"/>
  <c r="H55" i="17"/>
  <c r="F108" i="17"/>
  <c r="D86" i="13"/>
  <c r="D92" i="13"/>
  <c r="E110" i="5"/>
  <c r="E112" i="5" s="1"/>
  <c r="E143" i="5"/>
  <c r="E137" i="5"/>
  <c r="E119" i="5"/>
  <c r="J181" i="4"/>
  <c r="K181" i="4" s="1"/>
  <c r="K173" i="4"/>
  <c r="I18" i="4"/>
  <c r="I69" i="4"/>
  <c r="K67" i="4"/>
  <c r="H96" i="2"/>
  <c r="E31" i="13"/>
  <c r="F31" i="13" s="1"/>
  <c r="K18" i="13"/>
  <c r="F193" i="8"/>
  <c r="F73" i="9"/>
  <c r="H73" i="9" s="1"/>
  <c r="D112" i="17"/>
  <c r="H191" i="8"/>
  <c r="F111" i="17"/>
  <c r="F79" i="3"/>
  <c r="F73" i="3"/>
  <c r="F135" i="5"/>
  <c r="F119" i="5" s="1"/>
  <c r="F46" i="6"/>
  <c r="F275" i="5"/>
  <c r="F145" i="8"/>
  <c r="F46" i="9"/>
  <c r="E98" i="13"/>
  <c r="F98" i="13" s="1"/>
  <c r="E84" i="13"/>
  <c r="F84" i="13" s="1"/>
  <c r="J114" i="13"/>
  <c r="J120" i="13"/>
  <c r="K120" i="13" s="1"/>
  <c r="J151" i="13"/>
  <c r="J163" i="13"/>
  <c r="J160" i="13"/>
  <c r="J68" i="4"/>
  <c r="L33" i="8"/>
  <c r="M328" i="8"/>
  <c r="E115" i="8"/>
  <c r="H115" i="8" s="1"/>
  <c r="E134" i="8"/>
  <c r="H134" i="8" s="1"/>
  <c r="H132" i="8"/>
  <c r="J72" i="10"/>
  <c r="G110" i="17"/>
  <c r="M27" i="6"/>
  <c r="J123" i="3"/>
  <c r="G56" i="17"/>
  <c r="I91" i="15"/>
  <c r="G33" i="17"/>
  <c r="H7" i="12"/>
  <c r="E122" i="17"/>
  <c r="H77" i="13"/>
  <c r="H80" i="13"/>
  <c r="M127" i="13"/>
  <c r="I182" i="4"/>
  <c r="I179" i="4"/>
  <c r="D25" i="13"/>
  <c r="D32" i="13"/>
  <c r="D34" i="13"/>
  <c r="F12" i="13"/>
  <c r="M109" i="9"/>
  <c r="I122" i="10"/>
  <c r="E294" i="5"/>
  <c r="H294" i="5" s="1"/>
  <c r="C96" i="7"/>
  <c r="F96" i="7" s="1"/>
  <c r="B61" i="17"/>
  <c r="H124" i="3"/>
  <c r="I44" i="8"/>
  <c r="I191" i="8"/>
  <c r="I15" i="9"/>
  <c r="L263" i="5"/>
  <c r="L269" i="5"/>
  <c r="M269" i="5" s="1"/>
  <c r="M261" i="5"/>
  <c r="I159" i="4"/>
  <c r="I167" i="4" s="1"/>
  <c r="I94" i="15" s="1"/>
  <c r="G29" i="17"/>
  <c r="Z20" i="18"/>
  <c r="N102" i="2"/>
  <c r="D42" i="17"/>
  <c r="E47" i="4"/>
  <c r="L179" i="5"/>
  <c r="G65" i="13"/>
  <c r="H65" i="13"/>
  <c r="L294" i="8"/>
  <c r="K296" i="8"/>
  <c r="K102" i="9"/>
  <c r="K302" i="8"/>
  <c r="M43" i="15"/>
  <c r="C46" i="15"/>
  <c r="H43" i="15"/>
  <c r="L43" i="15"/>
  <c r="M46" i="15"/>
  <c r="C43" i="15"/>
  <c r="H46" i="15"/>
  <c r="L46" i="15"/>
  <c r="L133" i="13"/>
  <c r="L159" i="13" s="1"/>
  <c r="M159" i="13" s="1"/>
  <c r="L157" i="13"/>
  <c r="M157" i="13" s="1"/>
  <c r="J56" i="4"/>
  <c r="K56" i="4" s="1"/>
  <c r="J188" i="4"/>
  <c r="J194" i="4"/>
  <c r="K194" i="4" s="1"/>
  <c r="K143" i="3"/>
  <c r="L135" i="3"/>
  <c r="L248" i="5"/>
  <c r="J71" i="13"/>
  <c r="H52" i="17"/>
  <c r="H102" i="17"/>
  <c r="J141" i="5"/>
  <c r="J111" i="5"/>
  <c r="M140" i="3"/>
  <c r="M138" i="3"/>
  <c r="I54" i="17"/>
  <c r="F80" i="3"/>
  <c r="F136" i="5"/>
  <c r="F120" i="5" s="1"/>
  <c r="F47" i="6"/>
  <c r="F146" i="8"/>
  <c r="F154" i="8" s="1"/>
  <c r="F276" i="5"/>
  <c r="F284" i="5" s="1"/>
  <c r="F47" i="9"/>
  <c r="E85" i="13"/>
  <c r="E93" i="13" s="1"/>
  <c r="E99" i="13"/>
  <c r="E107" i="13" s="1"/>
  <c r="F8" i="4"/>
  <c r="I106" i="5"/>
  <c r="I125" i="5"/>
  <c r="I42" i="7"/>
  <c r="I132" i="8"/>
  <c r="I41" i="10"/>
  <c r="F78" i="17"/>
  <c r="K121" i="13"/>
  <c r="K118" i="13"/>
  <c r="I19" i="4"/>
  <c r="I50" i="13"/>
  <c r="I55" i="13"/>
  <c r="G100" i="4"/>
  <c r="G102" i="4"/>
  <c r="J141" i="3"/>
  <c r="G57" i="17" s="1"/>
  <c r="J144" i="3"/>
  <c r="G53" i="17"/>
  <c r="I192" i="8"/>
  <c r="I15" i="10"/>
  <c r="K51" i="4"/>
  <c r="F14" i="13"/>
  <c r="K104" i="9" l="1"/>
  <c r="F78" i="3"/>
  <c r="M44" i="5"/>
  <c r="K24" i="13"/>
  <c r="F107" i="13"/>
  <c r="M30" i="6"/>
  <c r="M204" i="15"/>
  <c r="L340" i="8"/>
  <c r="L341" i="8" s="1"/>
  <c r="L344" i="8"/>
  <c r="K75" i="13"/>
  <c r="M52" i="5"/>
  <c r="M155" i="3"/>
  <c r="K289" i="5"/>
  <c r="K7" i="12"/>
  <c r="H122" i="17" s="1"/>
  <c r="H47" i="17"/>
  <c r="K124" i="3"/>
  <c r="K76" i="13"/>
  <c r="F128" i="5"/>
  <c r="F43" i="6"/>
  <c r="F42" i="9"/>
  <c r="F129" i="8"/>
  <c r="F137" i="8" s="1"/>
  <c r="D76" i="17"/>
  <c r="I73" i="10"/>
  <c r="F113" i="17"/>
  <c r="I134" i="8"/>
  <c r="I115" i="8"/>
  <c r="J90" i="6"/>
  <c r="L256" i="5"/>
  <c r="L268" i="5"/>
  <c r="M271" i="5" s="1"/>
  <c r="L271" i="5"/>
  <c r="D114" i="17"/>
  <c r="H193" i="8"/>
  <c r="L42" i="8"/>
  <c r="L183" i="8"/>
  <c r="L13" i="9"/>
  <c r="M13" i="9" s="1"/>
  <c r="B186" i="13"/>
  <c r="D186" i="13" s="1"/>
  <c r="B197" i="13"/>
  <c r="D197" i="13" s="1"/>
  <c r="I44" i="13"/>
  <c r="I60" i="13"/>
  <c r="I46" i="13"/>
  <c r="I71" i="3"/>
  <c r="J158" i="4"/>
  <c r="H28" i="17"/>
  <c r="L20" i="18"/>
  <c r="I31" i="4"/>
  <c r="I96" i="4"/>
  <c r="I95" i="4"/>
  <c r="G21" i="17"/>
  <c r="AP16" i="18"/>
  <c r="K39" i="13"/>
  <c r="K49" i="13"/>
  <c r="I7" i="13"/>
  <c r="I10" i="13"/>
  <c r="J53" i="4"/>
  <c r="K53" i="4" s="1"/>
  <c r="J12" i="4"/>
  <c r="D209" i="15"/>
  <c r="D76" i="4" s="1"/>
  <c r="D80" i="4" s="1"/>
  <c r="D85" i="4" s="1"/>
  <c r="F32" i="12" s="1"/>
  <c r="C152" i="17" s="1"/>
  <c r="C71" i="17"/>
  <c r="M102" i="10"/>
  <c r="M298" i="8"/>
  <c r="L300" i="8"/>
  <c r="M300" i="8"/>
  <c r="L102" i="10"/>
  <c r="J115" i="8"/>
  <c r="J134" i="8"/>
  <c r="I44" i="7"/>
  <c r="F277" i="5"/>
  <c r="F283" i="5"/>
  <c r="I41" i="4"/>
  <c r="I166" i="4"/>
  <c r="I93" i="15" s="1"/>
  <c r="I160" i="4"/>
  <c r="K185" i="8"/>
  <c r="K71" i="9"/>
  <c r="H106" i="17"/>
  <c r="M183" i="8"/>
  <c r="I91" i="6"/>
  <c r="H100" i="4"/>
  <c r="H102" i="4"/>
  <c r="J90" i="13"/>
  <c r="K90" i="13" s="1"/>
  <c r="K88" i="13"/>
  <c r="L120" i="10"/>
  <c r="L345" i="8"/>
  <c r="M343" i="8"/>
  <c r="H165" i="4"/>
  <c r="H168" i="4"/>
  <c r="J18" i="4"/>
  <c r="K18" i="4" s="1"/>
  <c r="J69" i="4"/>
  <c r="L255" i="5"/>
  <c r="L249" i="5"/>
  <c r="J89" i="6"/>
  <c r="J91" i="6" s="1"/>
  <c r="J96" i="2"/>
  <c r="G31" i="13"/>
  <c r="D191" i="5"/>
  <c r="D18" i="7"/>
  <c r="M263" i="5"/>
  <c r="J159" i="4"/>
  <c r="J167" i="4" s="1"/>
  <c r="K167" i="4" s="1"/>
  <c r="H29" i="17"/>
  <c r="AB20" i="18"/>
  <c r="F180" i="8"/>
  <c r="F12" i="10"/>
  <c r="A43" i="17"/>
  <c r="M135" i="13"/>
  <c r="G187" i="5"/>
  <c r="G69" i="7" s="1"/>
  <c r="G17" i="7"/>
  <c r="E155" i="8"/>
  <c r="E152" i="8"/>
  <c r="G33" i="13"/>
  <c r="F42" i="17"/>
  <c r="H47" i="4"/>
  <c r="M32" i="6"/>
  <c r="M133" i="13"/>
  <c r="F10" i="8"/>
  <c r="F36" i="8"/>
  <c r="F168" i="8"/>
  <c r="F9" i="10"/>
  <c r="E196" i="8"/>
  <c r="E16" i="10"/>
  <c r="G80" i="3"/>
  <c r="H72" i="3"/>
  <c r="H80" i="3"/>
  <c r="G136" i="5"/>
  <c r="G120" i="5" s="1"/>
  <c r="H120" i="5" s="1"/>
  <c r="H136" i="5"/>
  <c r="G276" i="5"/>
  <c r="H47" i="6"/>
  <c r="H276" i="5"/>
  <c r="G47" i="6"/>
  <c r="H146" i="8"/>
  <c r="G47" i="9"/>
  <c r="H47" i="9"/>
  <c r="G146" i="8"/>
  <c r="G99" i="13"/>
  <c r="G85" i="13"/>
  <c r="L173" i="8"/>
  <c r="L68" i="9"/>
  <c r="M68" i="9" s="1"/>
  <c r="I97" i="17"/>
  <c r="C213" i="8"/>
  <c r="M171" i="8"/>
  <c r="L69" i="10"/>
  <c r="M69" i="10" s="1"/>
  <c r="I101" i="17"/>
  <c r="D214" i="8"/>
  <c r="D59" i="10" s="1"/>
  <c r="M176" i="8"/>
  <c r="K42" i="4"/>
  <c r="K106" i="5"/>
  <c r="K125" i="5"/>
  <c r="K42" i="7"/>
  <c r="K44" i="7" s="1"/>
  <c r="K132" i="8"/>
  <c r="K41" i="10"/>
  <c r="K43" i="10" s="1"/>
  <c r="H78" i="17"/>
  <c r="F153" i="8"/>
  <c r="F119" i="8"/>
  <c r="F121" i="8" s="1"/>
  <c r="F147" i="8"/>
  <c r="E142" i="5"/>
  <c r="E145" i="5"/>
  <c r="F93" i="13"/>
  <c r="H33" i="4"/>
  <c r="H8" i="4"/>
  <c r="I129" i="4"/>
  <c r="F22" i="17"/>
  <c r="K73" i="9"/>
  <c r="H112" i="17"/>
  <c r="E128" i="5"/>
  <c r="E43" i="6"/>
  <c r="E129" i="8"/>
  <c r="E42" i="9"/>
  <c r="C76" i="17"/>
  <c r="J73" i="10"/>
  <c r="G113" i="17"/>
  <c r="H133" i="4"/>
  <c r="H135" i="4"/>
  <c r="E25" i="17"/>
  <c r="D196" i="8"/>
  <c r="D16" i="10"/>
  <c r="G180" i="8"/>
  <c r="G12" i="10"/>
  <c r="F196" i="8"/>
  <c r="F16" i="10"/>
  <c r="C209" i="15"/>
  <c r="C76" i="4" s="1"/>
  <c r="C80" i="4" s="1"/>
  <c r="C85" i="4" s="1"/>
  <c r="E32" i="12" s="1"/>
  <c r="B152" i="17" s="1"/>
  <c r="B71" i="17"/>
  <c r="L68" i="10"/>
  <c r="M68" i="10" s="1"/>
  <c r="I98" i="17"/>
  <c r="M172" i="8"/>
  <c r="C214" i="8"/>
  <c r="C59" i="10" s="1"/>
  <c r="H66" i="13"/>
  <c r="G64" i="13"/>
  <c r="G57" i="13"/>
  <c r="H64" i="13"/>
  <c r="H57" i="13"/>
  <c r="G66" i="13"/>
  <c r="E34" i="17"/>
  <c r="G92" i="15"/>
  <c r="G95" i="15"/>
  <c r="M135" i="3"/>
  <c r="M143" i="3"/>
  <c r="L143" i="3"/>
  <c r="I52" i="17"/>
  <c r="E92" i="13"/>
  <c r="F92" i="13" s="1"/>
  <c r="E86" i="13"/>
  <c r="F86" i="13" s="1"/>
  <c r="M22" i="8"/>
  <c r="K102" i="13"/>
  <c r="L67" i="7"/>
  <c r="M67" i="7" s="1"/>
  <c r="C161" i="5"/>
  <c r="C58" i="7" s="1"/>
  <c r="M179" i="5"/>
  <c r="I73" i="9"/>
  <c r="F112" i="17"/>
  <c r="I193" i="8"/>
  <c r="L188" i="8"/>
  <c r="L14" i="10"/>
  <c r="M14" i="10" s="1"/>
  <c r="C187" i="13"/>
  <c r="C198" i="13"/>
  <c r="M33" i="8"/>
  <c r="E100" i="13"/>
  <c r="E106" i="13"/>
  <c r="F106" i="13" s="1"/>
  <c r="F48" i="6"/>
  <c r="F127" i="5"/>
  <c r="F105" i="5"/>
  <c r="F121" i="5"/>
  <c r="F42" i="6"/>
  <c r="F44" i="6" s="1"/>
  <c r="F128" i="8"/>
  <c r="F41" i="9"/>
  <c r="D75" i="17"/>
  <c r="D94" i="13"/>
  <c r="D91" i="13"/>
  <c r="N101" i="2"/>
  <c r="M42" i="8"/>
  <c r="K257" i="5"/>
  <c r="K254" i="5"/>
  <c r="H11" i="13"/>
  <c r="H30" i="13"/>
  <c r="J55" i="13"/>
  <c r="J50" i="13"/>
  <c r="H101" i="4"/>
  <c r="I134" i="4" s="1"/>
  <c r="I128" i="4"/>
  <c r="K141" i="5"/>
  <c r="K111" i="5"/>
  <c r="J91" i="7"/>
  <c r="L72" i="5"/>
  <c r="L46" i="5"/>
  <c r="L90" i="5"/>
  <c r="M90" i="5" s="1"/>
  <c r="K159" i="4"/>
  <c r="D36" i="4"/>
  <c r="D146" i="4"/>
  <c r="D152" i="4"/>
  <c r="L103" i="9"/>
  <c r="L303" i="8"/>
  <c r="M103" i="9"/>
  <c r="M295" i="8"/>
  <c r="M303" i="8"/>
  <c r="H43" i="4"/>
  <c r="H87" i="15"/>
  <c r="F30" i="17"/>
  <c r="L103" i="10"/>
  <c r="M103" i="10"/>
  <c r="M299" i="8"/>
  <c r="L71" i="10"/>
  <c r="I107" i="17"/>
  <c r="F214" i="8"/>
  <c r="F59" i="10" s="1"/>
  <c r="D153" i="4"/>
  <c r="I37" i="4"/>
  <c r="I150" i="4"/>
  <c r="K189" i="8"/>
  <c r="K72" i="9"/>
  <c r="H109" i="17"/>
  <c r="L136" i="3"/>
  <c r="M136" i="3"/>
  <c r="M134" i="3"/>
  <c r="L142" i="3"/>
  <c r="M142" i="3"/>
  <c r="I51" i="17"/>
  <c r="E34" i="13"/>
  <c r="E25" i="13"/>
  <c r="F32" i="13" s="1"/>
  <c r="E32" i="13"/>
  <c r="A147" i="17"/>
  <c r="D30" i="5"/>
  <c r="D175" i="5"/>
  <c r="D10" i="5"/>
  <c r="D14" i="7"/>
  <c r="M268" i="5"/>
  <c r="J107" i="4"/>
  <c r="J106" i="4"/>
  <c r="J112" i="4" s="1"/>
  <c r="J123" i="4" s="1"/>
  <c r="L16" i="18"/>
  <c r="M67" i="2"/>
  <c r="N67" i="2" s="1"/>
  <c r="N63" i="2"/>
  <c r="F187" i="5"/>
  <c r="F69" i="7" s="1"/>
  <c r="F17" i="7"/>
  <c r="M161" i="13"/>
  <c r="K19" i="5"/>
  <c r="K51" i="5"/>
  <c r="K54" i="5"/>
  <c r="M46" i="5"/>
  <c r="N57" i="2"/>
  <c r="I112" i="4"/>
  <c r="K106" i="4"/>
  <c r="J179" i="4"/>
  <c r="K179" i="4" s="1"/>
  <c r="J182" i="4"/>
  <c r="K174" i="4"/>
  <c r="F191" i="5"/>
  <c r="F70" i="7" s="1"/>
  <c r="F18" i="7"/>
  <c r="E191" i="5"/>
  <c r="E70" i="7" s="1"/>
  <c r="E18" i="7"/>
  <c r="F213" i="8"/>
  <c r="K104" i="10"/>
  <c r="M133" i="15"/>
  <c r="M130" i="15"/>
  <c r="M332" i="8"/>
  <c r="E282" i="5"/>
  <c r="E285" i="5"/>
  <c r="D105" i="13"/>
  <c r="D108" i="13"/>
  <c r="F100" i="13"/>
  <c r="L184" i="5"/>
  <c r="M184" i="5" s="1"/>
  <c r="L68" i="6"/>
  <c r="M68" i="6" s="1"/>
  <c r="M182" i="5"/>
  <c r="D160" i="5"/>
  <c r="M68" i="5"/>
  <c r="C154" i="4"/>
  <c r="C151" i="4"/>
  <c r="F34" i="13"/>
  <c r="I28" i="5"/>
  <c r="I31" i="8"/>
  <c r="F80" i="17"/>
  <c r="J193" i="4"/>
  <c r="K193" i="4" s="1"/>
  <c r="J196" i="4"/>
  <c r="K188" i="4"/>
  <c r="J122" i="13"/>
  <c r="J119" i="13"/>
  <c r="K119" i="13" s="1"/>
  <c r="F81" i="3"/>
  <c r="F120" i="3"/>
  <c r="K12" i="4"/>
  <c r="H134" i="4"/>
  <c r="L69" i="5"/>
  <c r="M72" i="5" s="1"/>
  <c r="L96" i="5"/>
  <c r="M96" i="5" s="1"/>
  <c r="E187" i="5"/>
  <c r="E17" i="7"/>
  <c r="H28" i="5"/>
  <c r="L43" i="8"/>
  <c r="M43" i="8" s="1"/>
  <c r="L187" i="8"/>
  <c r="L14" i="9"/>
  <c r="M14" i="9" s="1"/>
  <c r="B198" i="13"/>
  <c r="B187" i="13"/>
  <c r="D187" i="13" s="1"/>
  <c r="B209" i="15"/>
  <c r="A71" i="17"/>
  <c r="J148" i="4"/>
  <c r="K148" i="4" s="1"/>
  <c r="H40" i="17"/>
  <c r="AR19" i="18"/>
  <c r="E10" i="8"/>
  <c r="E168" i="8"/>
  <c r="E9" i="10"/>
  <c r="E36" i="8"/>
  <c r="L177" i="8"/>
  <c r="L69" i="9"/>
  <c r="M69" i="9" s="1"/>
  <c r="I100" i="17"/>
  <c r="M175" i="8"/>
  <c r="D213" i="8"/>
  <c r="C38" i="4"/>
  <c r="B43" i="17" s="1"/>
  <c r="B39" i="17"/>
  <c r="C46" i="4"/>
  <c r="K114" i="13"/>
  <c r="I73" i="4"/>
  <c r="F144" i="5"/>
  <c r="J13" i="4"/>
  <c r="K13" i="4" s="1"/>
  <c r="J58" i="4"/>
  <c r="K58" i="4" s="1"/>
  <c r="M139" i="3"/>
  <c r="I55" i="17"/>
  <c r="L43" i="7"/>
  <c r="M43" i="7" s="1"/>
  <c r="L133" i="8"/>
  <c r="M133" i="8" s="1"/>
  <c r="L42" i="10"/>
  <c r="M42" i="10" s="1"/>
  <c r="I79" i="17"/>
  <c r="N97" i="2"/>
  <c r="L140" i="3"/>
  <c r="K304" i="8"/>
  <c r="K301" i="8"/>
  <c r="I54" i="13"/>
  <c r="I56" i="13"/>
  <c r="I72" i="3"/>
  <c r="I43" i="10"/>
  <c r="J79" i="13"/>
  <c r="K79" i="13" s="1"/>
  <c r="K71" i="13"/>
  <c r="L302" i="8"/>
  <c r="M102" i="9"/>
  <c r="M294" i="8"/>
  <c r="M302" i="8"/>
  <c r="L296" i="8"/>
  <c r="M296" i="8"/>
  <c r="L102" i="9"/>
  <c r="E62" i="4"/>
  <c r="F62" i="4" s="1"/>
  <c r="G25" i="5"/>
  <c r="G29" i="5"/>
  <c r="G28" i="8"/>
  <c r="G35" i="8"/>
  <c r="H35" i="8" s="1"/>
  <c r="G27" i="12"/>
  <c r="D147" i="17" s="1"/>
  <c r="D66" i="17"/>
  <c r="K158" i="4"/>
  <c r="J289" i="5"/>
  <c r="J7" i="12"/>
  <c r="G122" i="17" s="1"/>
  <c r="G47" i="17"/>
  <c r="J124" i="3"/>
  <c r="K68" i="4"/>
  <c r="F48" i="9"/>
  <c r="F137" i="5"/>
  <c r="F110" i="5"/>
  <c r="F112" i="5" s="1"/>
  <c r="F143" i="5"/>
  <c r="E145" i="4"/>
  <c r="E153" i="4" s="1"/>
  <c r="D38" i="17"/>
  <c r="T19" i="18"/>
  <c r="E105" i="5"/>
  <c r="E121" i="5"/>
  <c r="E127" i="5"/>
  <c r="E42" i="6"/>
  <c r="E128" i="8"/>
  <c r="E41" i="9"/>
  <c r="C75" i="17"/>
  <c r="F85" i="13"/>
  <c r="L155" i="13"/>
  <c r="M155" i="13" s="1"/>
  <c r="L137" i="13"/>
  <c r="L134" i="13"/>
  <c r="M129" i="13"/>
  <c r="K71" i="10"/>
  <c r="M71" i="10" s="1"/>
  <c r="H107" i="17"/>
  <c r="M184" i="8"/>
  <c r="H27" i="13"/>
  <c r="H8" i="13"/>
  <c r="H13" i="13"/>
  <c r="H33" i="13" s="1"/>
  <c r="J45" i="13"/>
  <c r="J65" i="13" s="1"/>
  <c r="J40" i="13"/>
  <c r="J59" i="13"/>
  <c r="J33" i="5"/>
  <c r="J178" i="5"/>
  <c r="J15" i="6"/>
  <c r="K151" i="8"/>
  <c r="K120" i="8"/>
  <c r="L253" i="5"/>
  <c r="L347" i="8"/>
  <c r="M347" i="8" s="1"/>
  <c r="L120" i="9"/>
  <c r="M339" i="8"/>
  <c r="L34" i="6"/>
  <c r="M34" i="6" s="1"/>
  <c r="L28" i="6"/>
  <c r="M26" i="6"/>
  <c r="K192" i="8"/>
  <c r="K15" i="10"/>
  <c r="K160" i="13"/>
  <c r="K151" i="13"/>
  <c r="K163" i="13"/>
  <c r="G62" i="4"/>
  <c r="I25" i="5"/>
  <c r="I28" i="8"/>
  <c r="I27" i="12"/>
  <c r="E66" i="17"/>
  <c r="I29" i="5"/>
  <c r="I35" i="8"/>
  <c r="L77" i="3"/>
  <c r="C163" i="15" s="1"/>
  <c r="M77" i="3"/>
  <c r="M75" i="3"/>
  <c r="L139" i="5"/>
  <c r="M139" i="5"/>
  <c r="L279" i="5"/>
  <c r="L46" i="7"/>
  <c r="M279" i="5"/>
  <c r="M46" i="7"/>
  <c r="M149" i="8"/>
  <c r="L149" i="8"/>
  <c r="L46" i="10"/>
  <c r="M46" i="10"/>
  <c r="C161" i="15"/>
  <c r="E180" i="8"/>
  <c r="E12" i="10"/>
  <c r="H31" i="8"/>
  <c r="K36" i="6"/>
  <c r="K33" i="6"/>
  <c r="I96" i="2"/>
  <c r="J193" i="8"/>
  <c r="G114" i="17" s="1"/>
  <c r="J72" i="13"/>
  <c r="J78" i="13"/>
  <c r="K78" i="13" s="1"/>
  <c r="K141" i="3"/>
  <c r="H57" i="17" s="1"/>
  <c r="K144" i="3"/>
  <c r="H53" i="17"/>
  <c r="H122" i="4"/>
  <c r="H124" i="4"/>
  <c r="I65" i="13"/>
  <c r="E144" i="4"/>
  <c r="D37" i="17"/>
  <c r="D19" i="18"/>
  <c r="I95" i="2"/>
  <c r="D10" i="8"/>
  <c r="H28" i="8"/>
  <c r="D168" i="8"/>
  <c r="D36" i="8"/>
  <c r="D9" i="10"/>
  <c r="F47" i="4"/>
  <c r="B10" i="4"/>
  <c r="B48" i="4"/>
  <c r="B61" i="4"/>
  <c r="D18" i="5"/>
  <c r="D22" i="5"/>
  <c r="D18" i="8"/>
  <c r="D25" i="8"/>
  <c r="D26" i="12"/>
  <c r="A65" i="17"/>
  <c r="I180" i="5"/>
  <c r="I67" i="6"/>
  <c r="M64" i="5"/>
  <c r="I77" i="13"/>
  <c r="I80" i="13"/>
  <c r="K72" i="13"/>
  <c r="J95" i="2"/>
  <c r="G14" i="13"/>
  <c r="G12" i="13"/>
  <c r="G28" i="13"/>
  <c r="F99" i="13"/>
  <c r="I113" i="4"/>
  <c r="I118" i="4"/>
  <c r="I111" i="4"/>
  <c r="F10" i="5"/>
  <c r="F30" i="5"/>
  <c r="F175" i="5"/>
  <c r="F14" i="7"/>
  <c r="E10" i="5"/>
  <c r="E30" i="5"/>
  <c r="E14" i="7"/>
  <c r="E175" i="5"/>
  <c r="K86" i="5"/>
  <c r="K98" i="5"/>
  <c r="K95" i="5"/>
  <c r="E112" i="3"/>
  <c r="C48" i="17" s="1"/>
  <c r="E126" i="3"/>
  <c r="E288" i="5"/>
  <c r="E290" i="5" s="1"/>
  <c r="E6" i="12"/>
  <c r="C46" i="17"/>
  <c r="E121" i="3"/>
  <c r="L68" i="7"/>
  <c r="M68" i="7" s="1"/>
  <c r="D161" i="5"/>
  <c r="D58" i="7" s="1"/>
  <c r="M183" i="5"/>
  <c r="H73" i="3"/>
  <c r="G79" i="3"/>
  <c r="G78" i="3" s="1"/>
  <c r="H71" i="3"/>
  <c r="H79" i="3"/>
  <c r="G73" i="3"/>
  <c r="H135" i="5"/>
  <c r="H275" i="5"/>
  <c r="G46" i="6"/>
  <c r="G135" i="5"/>
  <c r="H46" i="6"/>
  <c r="G275" i="5"/>
  <c r="G145" i="8"/>
  <c r="G46" i="9"/>
  <c r="H46" i="9"/>
  <c r="G98" i="13"/>
  <c r="H145" i="8"/>
  <c r="G84" i="13"/>
  <c r="M94" i="5"/>
  <c r="J28" i="5"/>
  <c r="J31" i="8"/>
  <c r="G80" i="17"/>
  <c r="F43" i="9" l="1"/>
  <c r="H17" i="7"/>
  <c r="F145" i="4"/>
  <c r="L121" i="10"/>
  <c r="M121" i="10" s="1"/>
  <c r="M344" i="8"/>
  <c r="F25" i="13"/>
  <c r="L121" i="9"/>
  <c r="M121" i="9" s="1"/>
  <c r="M340" i="8"/>
  <c r="L348" i="8"/>
  <c r="M348" i="8" s="1"/>
  <c r="E8" i="7"/>
  <c r="E19" i="7"/>
  <c r="G144" i="4"/>
  <c r="E37" i="17"/>
  <c r="F19" i="18"/>
  <c r="D12" i="12"/>
  <c r="B19" i="17"/>
  <c r="L189" i="8"/>
  <c r="I111" i="17" s="1"/>
  <c r="L72" i="9"/>
  <c r="I109" i="17"/>
  <c r="K33" i="5"/>
  <c r="K178" i="5"/>
  <c r="K15" i="6"/>
  <c r="F114" i="17"/>
  <c r="J12" i="10"/>
  <c r="J180" i="8"/>
  <c r="G86" i="13"/>
  <c r="G92" i="13"/>
  <c r="H48" i="9"/>
  <c r="G48" i="9"/>
  <c r="H143" i="5"/>
  <c r="G137" i="5"/>
  <c r="G110" i="5"/>
  <c r="H137" i="5"/>
  <c r="H110" i="5"/>
  <c r="G143" i="5"/>
  <c r="H81" i="3"/>
  <c r="H78" i="3"/>
  <c r="G81" i="3"/>
  <c r="G120" i="3"/>
  <c r="E114" i="3"/>
  <c r="E127" i="3"/>
  <c r="C96" i="6"/>
  <c r="E293" i="5"/>
  <c r="B60" i="17"/>
  <c r="F195" i="5"/>
  <c r="F66" i="7"/>
  <c r="F71" i="7" s="1"/>
  <c r="G32" i="13"/>
  <c r="G34" i="13"/>
  <c r="G25" i="13"/>
  <c r="D36" i="5"/>
  <c r="D190" i="5"/>
  <c r="D18" i="6"/>
  <c r="E147" i="17"/>
  <c r="J71" i="4"/>
  <c r="L24" i="8"/>
  <c r="L346" i="8"/>
  <c r="L349" i="8"/>
  <c r="M341" i="8"/>
  <c r="E136" i="8"/>
  <c r="E114" i="8"/>
  <c r="E130" i="8"/>
  <c r="E21" i="5"/>
  <c r="E107" i="5"/>
  <c r="E21" i="8"/>
  <c r="C77" i="17"/>
  <c r="F145" i="5"/>
  <c r="F142" i="5"/>
  <c r="J294" i="5"/>
  <c r="H96" i="7"/>
  <c r="F61" i="17"/>
  <c r="G196" i="8"/>
  <c r="G16" i="10"/>
  <c r="H16" i="10" s="1"/>
  <c r="E209" i="15"/>
  <c r="E76" i="4" s="1"/>
  <c r="E80" i="4" s="1"/>
  <c r="E85" i="4" s="1"/>
  <c r="G32" i="12" s="1"/>
  <c r="D152" i="17" s="1"/>
  <c r="D71" i="17"/>
  <c r="F126" i="3"/>
  <c r="F112" i="3"/>
  <c r="D48" i="17" s="1"/>
  <c r="F288" i="5"/>
  <c r="F290" i="5" s="1"/>
  <c r="F6" i="12"/>
  <c r="D46" i="17"/>
  <c r="F121" i="3"/>
  <c r="I180" i="8"/>
  <c r="I12" i="10"/>
  <c r="K196" i="4"/>
  <c r="D162" i="5"/>
  <c r="D58" i="6"/>
  <c r="K117" i="4"/>
  <c r="J113" i="4"/>
  <c r="J118" i="4"/>
  <c r="J111" i="4"/>
  <c r="K111" i="4" s="1"/>
  <c r="K118" i="4"/>
  <c r="D195" i="5"/>
  <c r="D66" i="7"/>
  <c r="H27" i="12"/>
  <c r="M187" i="8"/>
  <c r="F153" i="4"/>
  <c r="K96" i="2"/>
  <c r="H31" i="13"/>
  <c r="F129" i="5"/>
  <c r="F126" i="5"/>
  <c r="E91" i="13"/>
  <c r="F94" i="13" s="1"/>
  <c r="E94" i="13"/>
  <c r="G70" i="10"/>
  <c r="E104" i="17"/>
  <c r="K193" i="8"/>
  <c r="H114" i="17" s="1"/>
  <c r="I133" i="4"/>
  <c r="I135" i="4"/>
  <c r="F25" i="17"/>
  <c r="K115" i="8"/>
  <c r="K134" i="8"/>
  <c r="G107" i="13"/>
  <c r="G284" i="5"/>
  <c r="H284" i="5"/>
  <c r="H62" i="4"/>
  <c r="J25" i="5"/>
  <c r="J28" i="8"/>
  <c r="J27" i="12"/>
  <c r="F147" i="17" s="1"/>
  <c r="F66" i="17"/>
  <c r="J29" i="5"/>
  <c r="J35" i="8"/>
  <c r="L257" i="5"/>
  <c r="L254" i="5"/>
  <c r="K182" i="4"/>
  <c r="I43" i="4"/>
  <c r="I87" i="15"/>
  <c r="G30" i="17"/>
  <c r="K40" i="13"/>
  <c r="K45" i="13"/>
  <c r="K59" i="13"/>
  <c r="I102" i="4"/>
  <c r="I100" i="4"/>
  <c r="J41" i="4"/>
  <c r="J160" i="4"/>
  <c r="K160" i="4" s="1"/>
  <c r="J166" i="4"/>
  <c r="K166" i="4" s="1"/>
  <c r="I57" i="13"/>
  <c r="I66" i="13"/>
  <c r="I64" i="13"/>
  <c r="L185" i="8"/>
  <c r="I108" i="17" s="1"/>
  <c r="L71" i="9"/>
  <c r="M71" i="9" s="1"/>
  <c r="I106" i="17"/>
  <c r="F19" i="7"/>
  <c r="F8" i="7"/>
  <c r="I124" i="4"/>
  <c r="I122" i="4"/>
  <c r="E146" i="4"/>
  <c r="E152" i="4"/>
  <c r="F152" i="4" s="1"/>
  <c r="E36" i="4"/>
  <c r="F144" i="4"/>
  <c r="E71" i="17"/>
  <c r="G209" i="15"/>
  <c r="J46" i="13"/>
  <c r="J60" i="13"/>
  <c r="J44" i="13"/>
  <c r="J71" i="3"/>
  <c r="E129" i="5"/>
  <c r="E126" i="5"/>
  <c r="M301" i="8"/>
  <c r="L304" i="8"/>
  <c r="L301" i="8"/>
  <c r="M304" i="8"/>
  <c r="K28" i="5"/>
  <c r="K31" i="8"/>
  <c r="H80" i="17"/>
  <c r="C215" i="8"/>
  <c r="C59" i="9"/>
  <c r="G93" i="13"/>
  <c r="E74" i="10"/>
  <c r="C116" i="17"/>
  <c r="F70" i="10"/>
  <c r="D104" i="17"/>
  <c r="K50" i="13"/>
  <c r="K55" i="13"/>
  <c r="J187" i="5"/>
  <c r="J69" i="7" s="1"/>
  <c r="J17" i="7"/>
  <c r="G119" i="8"/>
  <c r="G147" i="8"/>
  <c r="H119" i="8"/>
  <c r="H147" i="8"/>
  <c r="G153" i="8"/>
  <c r="H153" i="8"/>
  <c r="G48" i="6"/>
  <c r="H48" i="6"/>
  <c r="C16" i="17"/>
  <c r="D28" i="12"/>
  <c r="A146" i="17"/>
  <c r="D9" i="5"/>
  <c r="D23" i="5"/>
  <c r="D32" i="5"/>
  <c r="D174" i="5"/>
  <c r="D14" i="6"/>
  <c r="A67" i="17"/>
  <c r="D200" i="8"/>
  <c r="D67" i="10"/>
  <c r="B95" i="17"/>
  <c r="H12" i="10"/>
  <c r="L48" i="10"/>
  <c r="M48" i="10"/>
  <c r="L111" i="5"/>
  <c r="M111" i="5"/>
  <c r="L141" i="5"/>
  <c r="M141" i="5"/>
  <c r="I196" i="8"/>
  <c r="I16" i="10"/>
  <c r="I36" i="8"/>
  <c r="I168" i="8"/>
  <c r="I9" i="10"/>
  <c r="I10" i="8"/>
  <c r="L33" i="6"/>
  <c r="L36" i="6"/>
  <c r="M28" i="6"/>
  <c r="L122" i="9"/>
  <c r="M122" i="9" s="1"/>
  <c r="M120" i="9"/>
  <c r="L151" i="13"/>
  <c r="M151" i="13" s="1"/>
  <c r="L163" i="13"/>
  <c r="L160" i="13"/>
  <c r="M137" i="13"/>
  <c r="M134" i="13"/>
  <c r="E44" i="6"/>
  <c r="G10" i="8"/>
  <c r="G36" i="8"/>
  <c r="H36" i="8" s="1"/>
  <c r="G168" i="8"/>
  <c r="G9" i="10"/>
  <c r="L104" i="9"/>
  <c r="M104" i="9"/>
  <c r="I80" i="3"/>
  <c r="I136" i="5"/>
  <c r="I47" i="6"/>
  <c r="I276" i="5"/>
  <c r="I284" i="5" s="1"/>
  <c r="I146" i="8"/>
  <c r="I154" i="8" s="1"/>
  <c r="I47" i="9"/>
  <c r="H99" i="13"/>
  <c r="H107" i="13" s="1"/>
  <c r="H85" i="13"/>
  <c r="H93" i="13" s="1"/>
  <c r="K69" i="4"/>
  <c r="E17" i="10"/>
  <c r="B76" i="4"/>
  <c r="F209" i="15"/>
  <c r="D198" i="13"/>
  <c r="I123" i="4"/>
  <c r="K112" i="4"/>
  <c r="K123" i="4"/>
  <c r="J31" i="4"/>
  <c r="J96" i="4"/>
  <c r="J95" i="4"/>
  <c r="J101" i="4" s="1"/>
  <c r="L39" i="13"/>
  <c r="L49" i="13"/>
  <c r="H21" i="17"/>
  <c r="AR16" i="18"/>
  <c r="J7" i="13"/>
  <c r="J10" i="13"/>
  <c r="D151" i="4"/>
  <c r="D154" i="4"/>
  <c r="L51" i="5"/>
  <c r="M54" i="5" s="1"/>
  <c r="L19" i="5"/>
  <c r="L54" i="5"/>
  <c r="L123" i="5"/>
  <c r="J56" i="13"/>
  <c r="J54" i="13"/>
  <c r="J72" i="3"/>
  <c r="F21" i="5"/>
  <c r="F107" i="5"/>
  <c r="D81" i="17" s="1"/>
  <c r="F21" i="8"/>
  <c r="D77" i="17"/>
  <c r="E108" i="13"/>
  <c r="E105" i="13"/>
  <c r="F105" i="13" s="1"/>
  <c r="F74" i="10"/>
  <c r="D116" i="17"/>
  <c r="F152" i="8"/>
  <c r="F155" i="8"/>
  <c r="K122" i="13"/>
  <c r="K113" i="4"/>
  <c r="H154" i="8"/>
  <c r="G154" i="8"/>
  <c r="M51" i="5"/>
  <c r="F12" i="12"/>
  <c r="D127" i="17" s="1"/>
  <c r="D19" i="17"/>
  <c r="D70" i="7"/>
  <c r="G145" i="4"/>
  <c r="E38" i="17"/>
  <c r="V19" i="18"/>
  <c r="H108" i="17"/>
  <c r="M185" i="8"/>
  <c r="F285" i="5"/>
  <c r="F282" i="5"/>
  <c r="I30" i="13"/>
  <c r="I11" i="13"/>
  <c r="I8" i="4"/>
  <c r="I33" i="4"/>
  <c r="J129" i="4"/>
  <c r="G22" i="17"/>
  <c r="I73" i="3"/>
  <c r="I79" i="3"/>
  <c r="I135" i="5"/>
  <c r="I119" i="5" s="1"/>
  <c r="I46" i="6"/>
  <c r="I48" i="6" s="1"/>
  <c r="I275" i="5"/>
  <c r="I145" i="8"/>
  <c r="I46" i="9"/>
  <c r="H84" i="13"/>
  <c r="H98" i="13"/>
  <c r="K107" i="4"/>
  <c r="K294" i="5"/>
  <c r="I96" i="7"/>
  <c r="G61" i="17"/>
  <c r="D9" i="8"/>
  <c r="D26" i="8"/>
  <c r="D38" i="8"/>
  <c r="D167" i="8"/>
  <c r="D9" i="9"/>
  <c r="D17" i="10"/>
  <c r="L281" i="5"/>
  <c r="M281" i="5"/>
  <c r="K73" i="10"/>
  <c r="H113" i="17"/>
  <c r="J180" i="5"/>
  <c r="J67" i="6"/>
  <c r="E43" i="9"/>
  <c r="G30" i="5"/>
  <c r="H30" i="5" s="1"/>
  <c r="G10" i="5"/>
  <c r="G175" i="5"/>
  <c r="G14" i="7"/>
  <c r="L123" i="3"/>
  <c r="I56" i="17"/>
  <c r="C10" i="4"/>
  <c r="B67" i="17" s="1"/>
  <c r="C48" i="4"/>
  <c r="C61" i="4"/>
  <c r="E18" i="5"/>
  <c r="E22" i="5"/>
  <c r="E18" i="8"/>
  <c r="E25" i="8"/>
  <c r="E26" i="12"/>
  <c r="B65" i="17"/>
  <c r="E12" i="12"/>
  <c r="C127" i="17" s="1"/>
  <c r="C19" i="17"/>
  <c r="E69" i="7"/>
  <c r="H69" i="7" s="1"/>
  <c r="H187" i="5"/>
  <c r="F215" i="8"/>
  <c r="F59" i="9"/>
  <c r="H10" i="5"/>
  <c r="B16" i="17"/>
  <c r="H111" i="17"/>
  <c r="M189" i="8"/>
  <c r="E137" i="8"/>
  <c r="F200" i="8"/>
  <c r="F17" i="12" s="1"/>
  <c r="D132" i="17" s="1"/>
  <c r="F67" i="10"/>
  <c r="D95" i="17"/>
  <c r="M120" i="10"/>
  <c r="I101" i="4"/>
  <c r="J128" i="4"/>
  <c r="K124" i="4"/>
  <c r="G100" i="13"/>
  <c r="G106" i="13"/>
  <c r="H283" i="5"/>
  <c r="G277" i="5"/>
  <c r="H277" i="5"/>
  <c r="G283" i="5"/>
  <c r="E8" i="12"/>
  <c r="C123" i="17" s="1"/>
  <c r="C121" i="17"/>
  <c r="K122" i="4"/>
  <c r="E195" i="5"/>
  <c r="E66" i="7"/>
  <c r="E71" i="7" s="1"/>
  <c r="G213" i="8"/>
  <c r="D16" i="17"/>
  <c r="D195" i="8"/>
  <c r="D45" i="8"/>
  <c r="D16" i="9"/>
  <c r="B15" i="4"/>
  <c r="B63" i="4"/>
  <c r="A70" i="17"/>
  <c r="B208" i="15"/>
  <c r="J77" i="13"/>
  <c r="K80" i="13" s="1"/>
  <c r="J80" i="13"/>
  <c r="E70" i="10"/>
  <c r="C104" i="17"/>
  <c r="H180" i="8"/>
  <c r="L151" i="8"/>
  <c r="L120" i="8"/>
  <c r="M151" i="8"/>
  <c r="M120" i="8"/>
  <c r="M48" i="7"/>
  <c r="L48" i="7"/>
  <c r="I191" i="5"/>
  <c r="I18" i="7"/>
  <c r="I10" i="5"/>
  <c r="I30" i="5"/>
  <c r="I175" i="5"/>
  <c r="I14" i="7"/>
  <c r="K95" i="2"/>
  <c r="H14" i="13"/>
  <c r="H12" i="13"/>
  <c r="H28" i="13"/>
  <c r="G119" i="5"/>
  <c r="G191" i="5"/>
  <c r="G70" i="7" s="1"/>
  <c r="G18" i="7"/>
  <c r="H18" i="7" s="1"/>
  <c r="G128" i="5"/>
  <c r="H128" i="5" s="1"/>
  <c r="G43" i="6"/>
  <c r="H43" i="6" s="1"/>
  <c r="G129" i="8"/>
  <c r="G137" i="8" s="1"/>
  <c r="G42" i="9"/>
  <c r="H42" i="9" s="1"/>
  <c r="E76" i="17"/>
  <c r="D215" i="8"/>
  <c r="D59" i="9"/>
  <c r="I102" i="17"/>
  <c r="M177" i="8"/>
  <c r="E200" i="8"/>
  <c r="E17" i="12" s="1"/>
  <c r="C132" i="17" s="1"/>
  <c r="E67" i="10"/>
  <c r="C95" i="17"/>
  <c r="J37" i="4"/>
  <c r="J150" i="4"/>
  <c r="K150" i="4" s="1"/>
  <c r="L95" i="5"/>
  <c r="L86" i="5"/>
  <c r="M86" i="5" s="1"/>
  <c r="L98" i="5"/>
  <c r="M69" i="5"/>
  <c r="I17" i="7"/>
  <c r="I187" i="5"/>
  <c r="F108" i="13"/>
  <c r="D8" i="7"/>
  <c r="H14" i="7"/>
  <c r="D19" i="7"/>
  <c r="H25" i="5"/>
  <c r="L144" i="3"/>
  <c r="L141" i="3"/>
  <c r="I57" i="17" s="1"/>
  <c r="M144" i="3"/>
  <c r="M141" i="3"/>
  <c r="I53" i="17"/>
  <c r="M72" i="9"/>
  <c r="G42" i="17"/>
  <c r="I47" i="4"/>
  <c r="K37" i="4"/>
  <c r="H92" i="15"/>
  <c r="H95" i="15"/>
  <c r="F34" i="17"/>
  <c r="D38" i="4"/>
  <c r="C43" i="17" s="1"/>
  <c r="C39" i="17"/>
  <c r="D46" i="4"/>
  <c r="F91" i="13"/>
  <c r="F130" i="8"/>
  <c r="F136" i="8"/>
  <c r="F114" i="8"/>
  <c r="F116" i="8" s="1"/>
  <c r="L72" i="10"/>
  <c r="M72" i="10" s="1"/>
  <c r="I110" i="17"/>
  <c r="G214" i="8"/>
  <c r="G59" i="10" s="1"/>
  <c r="M188" i="8"/>
  <c r="H196" i="8"/>
  <c r="D74" i="10"/>
  <c r="B116" i="17"/>
  <c r="I99" i="17"/>
  <c r="M173" i="8"/>
  <c r="G144" i="5"/>
  <c r="H144" i="5"/>
  <c r="F17" i="10"/>
  <c r="H29" i="5"/>
  <c r="J72" i="4"/>
  <c r="L34" i="8"/>
  <c r="M345" i="8"/>
  <c r="I165" i="4"/>
  <c r="I168" i="4"/>
  <c r="L104" i="10"/>
  <c r="M104" i="10"/>
  <c r="I27" i="13"/>
  <c r="I8" i="13"/>
  <c r="I13" i="13"/>
  <c r="F36" i="4"/>
  <c r="K7" i="13"/>
  <c r="F75" i="10" l="1"/>
  <c r="E75" i="10"/>
  <c r="L122" i="10"/>
  <c r="M122" i="10" s="1"/>
  <c r="G17" i="10"/>
  <c r="H17" i="10" s="1"/>
  <c r="M95" i="5"/>
  <c r="K65" i="13"/>
  <c r="D197" i="8"/>
  <c r="D74" i="9"/>
  <c r="B115" i="17"/>
  <c r="G105" i="13"/>
  <c r="G108" i="13"/>
  <c r="D11" i="8"/>
  <c r="D11" i="12"/>
  <c r="B18" i="17"/>
  <c r="F41" i="8"/>
  <c r="F179" i="8"/>
  <c r="F12" i="9"/>
  <c r="I12" i="12"/>
  <c r="F19" i="17"/>
  <c r="G121" i="8"/>
  <c r="H121" i="8"/>
  <c r="E151" i="4"/>
  <c r="F154" i="4" s="1"/>
  <c r="E154" i="4"/>
  <c r="C81" i="17"/>
  <c r="G145" i="5"/>
  <c r="G142" i="5"/>
  <c r="H145" i="5"/>
  <c r="H142" i="5"/>
  <c r="K180" i="5"/>
  <c r="K67" i="6"/>
  <c r="H86" i="13"/>
  <c r="H92" i="13"/>
  <c r="J133" i="4"/>
  <c r="J135" i="4"/>
  <c r="G25" i="17"/>
  <c r="K77" i="13"/>
  <c r="J102" i="4"/>
  <c r="J100" i="4"/>
  <c r="G200" i="8"/>
  <c r="G17" i="12" s="1"/>
  <c r="E132" i="17" s="1"/>
  <c r="G67" i="10"/>
  <c r="H67" i="10" s="1"/>
  <c r="E95" i="17"/>
  <c r="I17" i="10"/>
  <c r="D75" i="10"/>
  <c r="D37" i="5"/>
  <c r="D31" i="5"/>
  <c r="K187" i="5"/>
  <c r="K69" i="7" s="1"/>
  <c r="K17" i="7"/>
  <c r="J79" i="3"/>
  <c r="J73" i="3"/>
  <c r="J135" i="5"/>
  <c r="J46" i="6"/>
  <c r="J275" i="5"/>
  <c r="J145" i="8"/>
  <c r="J46" i="9"/>
  <c r="I98" i="13"/>
  <c r="I84" i="13"/>
  <c r="G76" i="4"/>
  <c r="K96" i="4"/>
  <c r="I95" i="15"/>
  <c r="I92" i="15"/>
  <c r="G34" i="17"/>
  <c r="J16" i="10"/>
  <c r="J196" i="8"/>
  <c r="J10" i="8"/>
  <c r="J36" i="8"/>
  <c r="J9" i="10"/>
  <c r="J17" i="10" s="1"/>
  <c r="J168" i="8"/>
  <c r="D71" i="7"/>
  <c r="J124" i="4"/>
  <c r="J122" i="4"/>
  <c r="I70" i="10"/>
  <c r="F104" i="17"/>
  <c r="F8" i="12"/>
  <c r="D123" i="17" s="1"/>
  <c r="D121" i="17"/>
  <c r="E35" i="5"/>
  <c r="E186" i="5"/>
  <c r="E17" i="6"/>
  <c r="L191" i="8"/>
  <c r="L44" i="8"/>
  <c r="M44" i="8" s="1"/>
  <c r="L15" i="9"/>
  <c r="M15" i="9" s="1"/>
  <c r="B188" i="13"/>
  <c r="B199" i="13"/>
  <c r="M24" i="8"/>
  <c r="I69" i="7"/>
  <c r="H144" i="4"/>
  <c r="H19" i="18"/>
  <c r="F37" i="17"/>
  <c r="A72" i="17"/>
  <c r="E26" i="8"/>
  <c r="E38" i="8"/>
  <c r="E9" i="8"/>
  <c r="E167" i="8"/>
  <c r="E9" i="9"/>
  <c r="G19" i="7"/>
  <c r="G8" i="7"/>
  <c r="D199" i="8"/>
  <c r="D169" i="8"/>
  <c r="D67" i="9"/>
  <c r="B94" i="17"/>
  <c r="I81" i="3"/>
  <c r="I120" i="3"/>
  <c r="L33" i="5"/>
  <c r="M33" i="5" s="1"/>
  <c r="L178" i="5"/>
  <c r="M178" i="5" s="1"/>
  <c r="L15" i="6"/>
  <c r="B167" i="13"/>
  <c r="D167" i="13" s="1"/>
  <c r="B175" i="13"/>
  <c r="D175" i="13" s="1"/>
  <c r="I144" i="5"/>
  <c r="K56" i="13"/>
  <c r="K54" i="13"/>
  <c r="K72" i="3"/>
  <c r="K180" i="8"/>
  <c r="K12" i="10"/>
  <c r="M346" i="8"/>
  <c r="M349" i="8"/>
  <c r="K72" i="4"/>
  <c r="I62" i="4"/>
  <c r="K25" i="5"/>
  <c r="K28" i="8"/>
  <c r="K27" i="12"/>
  <c r="G147" i="17" s="1"/>
  <c r="G66" i="17"/>
  <c r="K29" i="5"/>
  <c r="K35" i="8"/>
  <c r="D48" i="4"/>
  <c r="D61" i="4"/>
  <c r="D10" i="4"/>
  <c r="C67" i="17" s="1"/>
  <c r="F18" i="5"/>
  <c r="F22" i="5"/>
  <c r="F25" i="8"/>
  <c r="F18" i="8"/>
  <c r="F26" i="12"/>
  <c r="C65" i="17"/>
  <c r="H25" i="13"/>
  <c r="H32" i="13"/>
  <c r="H34" i="13"/>
  <c r="F16" i="17"/>
  <c r="H129" i="8"/>
  <c r="E28" i="12"/>
  <c r="B148" i="17" s="1"/>
  <c r="B146" i="17"/>
  <c r="E32" i="5"/>
  <c r="E23" i="5"/>
  <c r="E174" i="5"/>
  <c r="E9" i="5"/>
  <c r="E14" i="6"/>
  <c r="E16" i="17"/>
  <c r="H9" i="10"/>
  <c r="D46" i="8"/>
  <c r="D37" i="8"/>
  <c r="M19" i="5"/>
  <c r="I48" i="9"/>
  <c r="I110" i="5"/>
  <c r="I112" i="5" s="1"/>
  <c r="J119" i="5"/>
  <c r="I143" i="5"/>
  <c r="I137" i="5"/>
  <c r="L96" i="2"/>
  <c r="I31" i="13"/>
  <c r="H70" i="7"/>
  <c r="F35" i="5"/>
  <c r="F17" i="6"/>
  <c r="F186" i="5"/>
  <c r="L106" i="5"/>
  <c r="L125" i="5"/>
  <c r="M125" i="5" s="1"/>
  <c r="L42" i="7"/>
  <c r="L132" i="8"/>
  <c r="L41" i="10"/>
  <c r="I78" i="17"/>
  <c r="M123" i="5"/>
  <c r="F146" i="4"/>
  <c r="J30" i="13"/>
  <c r="K30" i="13" s="1"/>
  <c r="J11" i="13"/>
  <c r="K11" i="13" s="1"/>
  <c r="K10" i="13"/>
  <c r="M49" i="13"/>
  <c r="L50" i="13"/>
  <c r="L55" i="13"/>
  <c r="M50" i="13"/>
  <c r="M55" i="13"/>
  <c r="J8" i="4"/>
  <c r="H25" i="17" s="1"/>
  <c r="J33" i="4"/>
  <c r="K33" i="4" s="1"/>
  <c r="H22" i="17"/>
  <c r="K31" i="4"/>
  <c r="M163" i="13"/>
  <c r="M160" i="13"/>
  <c r="I200" i="8"/>
  <c r="I67" i="10"/>
  <c r="F95" i="17"/>
  <c r="I74" i="10"/>
  <c r="F116" i="17"/>
  <c r="H200" i="8"/>
  <c r="D17" i="12"/>
  <c r="D288" i="15"/>
  <c r="D19" i="6"/>
  <c r="D8" i="6"/>
  <c r="D11" i="5"/>
  <c r="B15" i="17"/>
  <c r="A148" i="17"/>
  <c r="M98" i="5"/>
  <c r="J64" i="13"/>
  <c r="J57" i="13"/>
  <c r="J66" i="13"/>
  <c r="E38" i="4"/>
  <c r="D43" i="17" s="1"/>
  <c r="D39" i="17"/>
  <c r="E46" i="4"/>
  <c r="K100" i="4"/>
  <c r="K102" i="4"/>
  <c r="K46" i="13"/>
  <c r="K60" i="13"/>
  <c r="K44" i="13"/>
  <c r="K71" i="3"/>
  <c r="J191" i="5"/>
  <c r="J70" i="7" s="1"/>
  <c r="J18" i="7"/>
  <c r="J10" i="5"/>
  <c r="J30" i="5"/>
  <c r="J175" i="5"/>
  <c r="J14" i="7"/>
  <c r="G74" i="10"/>
  <c r="H74" i="10" s="1"/>
  <c r="E116" i="17"/>
  <c r="J19" i="4"/>
  <c r="J73" i="4"/>
  <c r="K71" i="4"/>
  <c r="B62" i="17"/>
  <c r="G91" i="13"/>
  <c r="G94" i="13"/>
  <c r="B127" i="17"/>
  <c r="L192" i="8"/>
  <c r="L15" i="10"/>
  <c r="M15" i="10" s="1"/>
  <c r="C188" i="13"/>
  <c r="C199" i="13"/>
  <c r="M34" i="8"/>
  <c r="H42" i="17"/>
  <c r="J47" i="4"/>
  <c r="I70" i="7"/>
  <c r="G59" i="9"/>
  <c r="G215" i="8"/>
  <c r="G285" i="5"/>
  <c r="G282" i="5"/>
  <c r="H285" i="5"/>
  <c r="H282" i="5"/>
  <c r="H100" i="13"/>
  <c r="H106" i="13"/>
  <c r="I283" i="5"/>
  <c r="I277" i="5"/>
  <c r="F151" i="4"/>
  <c r="J43" i="4"/>
  <c r="H30" i="17"/>
  <c r="K41" i="4"/>
  <c r="E116" i="8"/>
  <c r="I127" i="5"/>
  <c r="I42" i="6"/>
  <c r="I128" i="8"/>
  <c r="I41" i="9"/>
  <c r="F75" i="17"/>
  <c r="H8" i="7"/>
  <c r="E36" i="5"/>
  <c r="E190" i="5"/>
  <c r="E18" i="6"/>
  <c r="G195" i="5"/>
  <c r="H195" i="5" s="1"/>
  <c r="G66" i="7"/>
  <c r="G71" i="7" s="1"/>
  <c r="I33" i="13"/>
  <c r="I8" i="7"/>
  <c r="I19" i="7"/>
  <c r="L95" i="2"/>
  <c r="I12" i="13"/>
  <c r="I28" i="13"/>
  <c r="I14" i="13"/>
  <c r="I120" i="5"/>
  <c r="I121" i="5" s="1"/>
  <c r="F138" i="8"/>
  <c r="F135" i="8"/>
  <c r="H19" i="7"/>
  <c r="G127" i="5"/>
  <c r="H127" i="5" s="1"/>
  <c r="G105" i="5"/>
  <c r="G121" i="5"/>
  <c r="G42" i="6"/>
  <c r="G41" i="9"/>
  <c r="G128" i="8"/>
  <c r="E75" i="17"/>
  <c r="H119" i="5"/>
  <c r="I195" i="5"/>
  <c r="I66" i="7"/>
  <c r="H70" i="10"/>
  <c r="B75" i="4"/>
  <c r="B210" i="15"/>
  <c r="J134" i="4"/>
  <c r="K101" i="4"/>
  <c r="H137" i="8"/>
  <c r="E45" i="8"/>
  <c r="E195" i="8"/>
  <c r="E16" i="9"/>
  <c r="C15" i="4"/>
  <c r="B72" i="17" s="1"/>
  <c r="C63" i="4"/>
  <c r="C208" i="15"/>
  <c r="B70" i="17"/>
  <c r="M123" i="3"/>
  <c r="L289" i="5"/>
  <c r="M289" i="5"/>
  <c r="L7" i="12"/>
  <c r="I47" i="17"/>
  <c r="L124" i="3"/>
  <c r="D17" i="9"/>
  <c r="I153" i="8"/>
  <c r="I119" i="8"/>
  <c r="I121" i="8" s="1"/>
  <c r="I147" i="8"/>
  <c r="I78" i="3"/>
  <c r="G153" i="4"/>
  <c r="H191" i="5"/>
  <c r="J80" i="3"/>
  <c r="J136" i="5"/>
  <c r="J47" i="6"/>
  <c r="J276" i="5"/>
  <c r="J284" i="5" s="1"/>
  <c r="J146" i="8"/>
  <c r="J154" i="8" s="1"/>
  <c r="J47" i="9"/>
  <c r="I85" i="13"/>
  <c r="I93" i="13" s="1"/>
  <c r="I99" i="13"/>
  <c r="J13" i="13"/>
  <c r="J33" i="13" s="1"/>
  <c r="J27" i="13"/>
  <c r="K27" i="13" s="1"/>
  <c r="J8" i="13"/>
  <c r="M39" i="13"/>
  <c r="L40" i="13"/>
  <c r="L45" i="13"/>
  <c r="L59" i="13"/>
  <c r="M40" i="13"/>
  <c r="M45" i="13"/>
  <c r="M59" i="13"/>
  <c r="F76" i="4"/>
  <c r="B80" i="4"/>
  <c r="G12" i="12"/>
  <c r="E127" i="17" s="1"/>
  <c r="E19" i="17"/>
  <c r="M33" i="6"/>
  <c r="M36" i="6"/>
  <c r="H168" i="8"/>
  <c r="D194" i="5"/>
  <c r="D176" i="5"/>
  <c r="D66" i="6"/>
  <c r="G155" i="8"/>
  <c r="G152" i="8"/>
  <c r="H155" i="8"/>
  <c r="H152" i="8"/>
  <c r="J168" i="4"/>
  <c r="J165" i="4"/>
  <c r="K168" i="4" s="1"/>
  <c r="F71" i="17"/>
  <c r="H209" i="15"/>
  <c r="H76" i="4" s="1"/>
  <c r="H80" i="4" s="1"/>
  <c r="H85" i="4" s="1"/>
  <c r="J32" i="12" s="1"/>
  <c r="F152" i="17" s="1"/>
  <c r="H145" i="4"/>
  <c r="H153" i="4" s="1"/>
  <c r="X19" i="18"/>
  <c r="F38" i="17"/>
  <c r="H175" i="5"/>
  <c r="F127" i="3"/>
  <c r="F114" i="3"/>
  <c r="C62" i="17" s="1"/>
  <c r="F293" i="5"/>
  <c r="F295" i="5" s="1"/>
  <c r="D96" i="6"/>
  <c r="C60" i="17"/>
  <c r="E41" i="8"/>
  <c r="E179" i="8"/>
  <c r="E12" i="9"/>
  <c r="E135" i="8"/>
  <c r="E138" i="8"/>
  <c r="D192" i="5"/>
  <c r="D70" i="6"/>
  <c r="E295" i="5"/>
  <c r="G112" i="3"/>
  <c r="E48" i="17" s="1"/>
  <c r="H120" i="3"/>
  <c r="H112" i="3"/>
  <c r="G126" i="3"/>
  <c r="H126" i="3"/>
  <c r="H288" i="5"/>
  <c r="G288" i="5"/>
  <c r="G6" i="12"/>
  <c r="E46" i="17"/>
  <c r="G121" i="3"/>
  <c r="G112" i="5"/>
  <c r="H112" i="5"/>
  <c r="J70" i="10"/>
  <c r="G104" i="17"/>
  <c r="M15" i="6"/>
  <c r="H10" i="8"/>
  <c r="G36" i="4"/>
  <c r="G146" i="4"/>
  <c r="G152" i="4"/>
  <c r="K95" i="4"/>
  <c r="K13" i="13" l="1"/>
  <c r="I105" i="5"/>
  <c r="E17" i="9"/>
  <c r="K165" i="4"/>
  <c r="F38" i="4"/>
  <c r="H66" i="7"/>
  <c r="J48" i="6"/>
  <c r="G126" i="5"/>
  <c r="G129" i="5"/>
  <c r="H121" i="5"/>
  <c r="I129" i="5"/>
  <c r="I126" i="5"/>
  <c r="H34" i="17"/>
  <c r="K43" i="4"/>
  <c r="J8" i="7"/>
  <c r="J19" i="7"/>
  <c r="F36" i="5"/>
  <c r="F190" i="5"/>
  <c r="F18" i="6"/>
  <c r="D16" i="12"/>
  <c r="D287" i="15"/>
  <c r="D13" i="12"/>
  <c r="B126" i="17"/>
  <c r="G154" i="4"/>
  <c r="G151" i="4"/>
  <c r="G290" i="5"/>
  <c r="H290" i="5"/>
  <c r="D71" i="6"/>
  <c r="L44" i="13"/>
  <c r="M44" i="13"/>
  <c r="L46" i="13"/>
  <c r="L60" i="13"/>
  <c r="M46" i="13"/>
  <c r="M60" i="13"/>
  <c r="L71" i="3"/>
  <c r="B161" i="15" s="1"/>
  <c r="G107" i="5"/>
  <c r="G21" i="5"/>
  <c r="G21" i="8"/>
  <c r="E77" i="17"/>
  <c r="H105" i="5"/>
  <c r="G38" i="4"/>
  <c r="E39" i="17"/>
  <c r="G46" i="4"/>
  <c r="E70" i="9"/>
  <c r="E181" i="8"/>
  <c r="C103" i="17"/>
  <c r="M95" i="2"/>
  <c r="N95" i="2" s="1"/>
  <c r="J12" i="13"/>
  <c r="K12" i="13" s="1"/>
  <c r="J28" i="13"/>
  <c r="K28" i="13" s="1"/>
  <c r="J14" i="13"/>
  <c r="C75" i="4"/>
  <c r="C210" i="15"/>
  <c r="G44" i="6"/>
  <c r="H44" i="6" s="1"/>
  <c r="H42" i="6"/>
  <c r="K8" i="13"/>
  <c r="I144" i="4"/>
  <c r="G37" i="17"/>
  <c r="J19" i="18"/>
  <c r="I282" i="5"/>
  <c r="I285" i="5"/>
  <c r="J62" i="4"/>
  <c r="L25" i="5"/>
  <c r="L28" i="8"/>
  <c r="M28" i="8" s="1"/>
  <c r="L27" i="12"/>
  <c r="H147" i="17" s="1"/>
  <c r="H66" i="17"/>
  <c r="L35" i="8"/>
  <c r="M35" i="8" s="1"/>
  <c r="L29" i="5"/>
  <c r="H12" i="12"/>
  <c r="G16" i="17"/>
  <c r="K64" i="13"/>
  <c r="K57" i="13"/>
  <c r="K66" i="13"/>
  <c r="I75" i="10"/>
  <c r="M96" i="2"/>
  <c r="J31" i="13"/>
  <c r="K31" i="13" s="1"/>
  <c r="I145" i="4"/>
  <c r="G38" i="17"/>
  <c r="Z19" i="18"/>
  <c r="E37" i="5"/>
  <c r="E31" i="5"/>
  <c r="F45" i="8"/>
  <c r="F195" i="8"/>
  <c r="F16" i="9"/>
  <c r="D15" i="4"/>
  <c r="C72" i="17" s="1"/>
  <c r="D63" i="4"/>
  <c r="D208" i="15"/>
  <c r="C70" i="17"/>
  <c r="K47" i="4"/>
  <c r="D201" i="8"/>
  <c r="D198" i="8"/>
  <c r="B96" i="17"/>
  <c r="D188" i="13"/>
  <c r="I86" i="13"/>
  <c r="I92" i="13"/>
  <c r="J277" i="5"/>
  <c r="J283" i="5"/>
  <c r="J78" i="3"/>
  <c r="H94" i="13"/>
  <c r="H91" i="13"/>
  <c r="M65" i="13"/>
  <c r="L65" i="13"/>
  <c r="J144" i="5"/>
  <c r="L294" i="5"/>
  <c r="M294" i="5" s="1"/>
  <c r="J96" i="7"/>
  <c r="K96" i="7" s="1"/>
  <c r="H61" i="17"/>
  <c r="M124" i="3"/>
  <c r="I17" i="12"/>
  <c r="L54" i="13"/>
  <c r="M54" i="13"/>
  <c r="L56" i="13"/>
  <c r="M56" i="13"/>
  <c r="L72" i="3"/>
  <c r="B162" i="15" s="1"/>
  <c r="L28" i="5"/>
  <c r="L31" i="8"/>
  <c r="I80" i="17"/>
  <c r="M106" i="5"/>
  <c r="I142" i="5"/>
  <c r="I145" i="5"/>
  <c r="E8" i="6"/>
  <c r="E19" i="6"/>
  <c r="K10" i="8"/>
  <c r="K36" i="8"/>
  <c r="K168" i="8"/>
  <c r="K9" i="10"/>
  <c r="K70" i="10"/>
  <c r="H104" i="17"/>
  <c r="E46" i="8"/>
  <c r="E37" i="8"/>
  <c r="I100" i="13"/>
  <c r="I106" i="13"/>
  <c r="J195" i="5"/>
  <c r="J66" i="7"/>
  <c r="J71" i="7" s="1"/>
  <c r="H17" i="12"/>
  <c r="B132" i="17"/>
  <c r="L115" i="8"/>
  <c r="M115" i="8" s="1"/>
  <c r="L134" i="8"/>
  <c r="M134" i="8" s="1"/>
  <c r="M132" i="8"/>
  <c r="F188" i="5"/>
  <c r="F69" i="6"/>
  <c r="E11" i="5"/>
  <c r="C17" i="17" s="1"/>
  <c r="C15" i="17"/>
  <c r="F28" i="12"/>
  <c r="C146" i="17"/>
  <c r="F9" i="5"/>
  <c r="F23" i="5"/>
  <c r="F32" i="5"/>
  <c r="F174" i="5"/>
  <c r="F14" i="6"/>
  <c r="K191" i="5"/>
  <c r="K70" i="7" s="1"/>
  <c r="K18" i="7"/>
  <c r="M29" i="5"/>
  <c r="K30" i="5"/>
  <c r="K10" i="5"/>
  <c r="K175" i="5"/>
  <c r="K14" i="7"/>
  <c r="M25" i="5"/>
  <c r="K80" i="3"/>
  <c r="K136" i="5"/>
  <c r="K120" i="5" s="1"/>
  <c r="K276" i="5"/>
  <c r="K284" i="5" s="1"/>
  <c r="K47" i="6"/>
  <c r="K146" i="8"/>
  <c r="K154" i="8" s="1"/>
  <c r="K47" i="9"/>
  <c r="J99" i="13"/>
  <c r="J107" i="13" s="1"/>
  <c r="J85" i="13"/>
  <c r="J93" i="13" s="1"/>
  <c r="K93" i="13" s="1"/>
  <c r="E199" i="8"/>
  <c r="E16" i="12" s="1"/>
  <c r="E169" i="8"/>
  <c r="E67" i="9"/>
  <c r="C94" i="17"/>
  <c r="H71" i="7"/>
  <c r="J12" i="12"/>
  <c r="G127" i="17" s="1"/>
  <c r="G19" i="17"/>
  <c r="G80" i="4"/>
  <c r="J48" i="9"/>
  <c r="J137" i="5"/>
  <c r="J110" i="5"/>
  <c r="J112" i="5" s="1"/>
  <c r="J143" i="5"/>
  <c r="G75" i="10"/>
  <c r="M27" i="12"/>
  <c r="F127" i="17"/>
  <c r="F181" i="8"/>
  <c r="D105" i="17" s="1"/>
  <c r="F70" i="9"/>
  <c r="D103" i="17"/>
  <c r="B20" i="17"/>
  <c r="H6" i="12"/>
  <c r="G8" i="12"/>
  <c r="E123" i="17" s="1"/>
  <c r="H8" i="12"/>
  <c r="E121" i="17"/>
  <c r="E74" i="9"/>
  <c r="E197" i="8"/>
  <c r="C117" i="17" s="1"/>
  <c r="C115" i="17"/>
  <c r="I71" i="7"/>
  <c r="I136" i="8"/>
  <c r="E10" i="4"/>
  <c r="D67" i="17" s="1"/>
  <c r="E48" i="4"/>
  <c r="F48" i="4" s="1"/>
  <c r="E61" i="4"/>
  <c r="G18" i="5"/>
  <c r="G22" i="5"/>
  <c r="H22" i="5" s="1"/>
  <c r="G25" i="8"/>
  <c r="H25" i="8" s="1"/>
  <c r="G18" i="8"/>
  <c r="G26" i="12"/>
  <c r="D65" i="17"/>
  <c r="F46" i="4"/>
  <c r="B17" i="17"/>
  <c r="D22" i="12"/>
  <c r="B137" i="17" s="1"/>
  <c r="B142" i="17"/>
  <c r="E288" i="15"/>
  <c r="L43" i="10"/>
  <c r="M43" i="10" s="1"/>
  <c r="M41" i="10"/>
  <c r="K196" i="8"/>
  <c r="K16" i="10"/>
  <c r="B20" i="4"/>
  <c r="B77" i="4"/>
  <c r="B79" i="4"/>
  <c r="G114" i="8"/>
  <c r="G130" i="8"/>
  <c r="G136" i="8"/>
  <c r="H136" i="8" s="1"/>
  <c r="H128" i="8"/>
  <c r="K33" i="13"/>
  <c r="I21" i="5"/>
  <c r="I107" i="5"/>
  <c r="I21" i="8"/>
  <c r="F77" i="17"/>
  <c r="L73" i="10"/>
  <c r="M73" i="10" s="1"/>
  <c r="I113" i="17"/>
  <c r="H214" i="8"/>
  <c r="H59" i="10" s="1"/>
  <c r="M192" i="8"/>
  <c r="K73" i="4"/>
  <c r="G127" i="3"/>
  <c r="H127" i="3" s="1"/>
  <c r="G114" i="3"/>
  <c r="D62" i="17" s="1"/>
  <c r="E96" i="6"/>
  <c r="F96" i="6" s="1"/>
  <c r="G293" i="5"/>
  <c r="D60" i="17"/>
  <c r="H121" i="3"/>
  <c r="K85" i="13"/>
  <c r="D193" i="5"/>
  <c r="D196" i="5"/>
  <c r="F80" i="4"/>
  <c r="B85" i="4"/>
  <c r="I107" i="13"/>
  <c r="I155" i="8"/>
  <c r="I152" i="8"/>
  <c r="I122" i="17"/>
  <c r="M7" i="12"/>
  <c r="G43" i="9"/>
  <c r="H43" i="9" s="1"/>
  <c r="H41" i="9"/>
  <c r="I128" i="5"/>
  <c r="I43" i="6"/>
  <c r="I129" i="8"/>
  <c r="I114" i="8" s="1"/>
  <c r="I42" i="9"/>
  <c r="I43" i="9" s="1"/>
  <c r="F76" i="17"/>
  <c r="I34" i="13"/>
  <c r="I25" i="13"/>
  <c r="I32" i="13"/>
  <c r="E192" i="5"/>
  <c r="E70" i="6"/>
  <c r="H105" i="13"/>
  <c r="H108" i="13"/>
  <c r="K19" i="4"/>
  <c r="K79" i="3"/>
  <c r="K78" i="3" s="1"/>
  <c r="K73" i="3"/>
  <c r="K135" i="5"/>
  <c r="K119" i="5" s="1"/>
  <c r="K46" i="6"/>
  <c r="K48" i="6" s="1"/>
  <c r="K275" i="5"/>
  <c r="K145" i="8"/>
  <c r="K46" i="9"/>
  <c r="J98" i="13"/>
  <c r="K98" i="13" s="1"/>
  <c r="J84" i="13"/>
  <c r="L44" i="7"/>
  <c r="M44" i="7" s="1"/>
  <c r="M42" i="7"/>
  <c r="J127" i="5"/>
  <c r="J42" i="6"/>
  <c r="J128" i="8"/>
  <c r="J41" i="9"/>
  <c r="G75" i="17"/>
  <c r="E194" i="5"/>
  <c r="E176" i="5"/>
  <c r="E66" i="6"/>
  <c r="F26" i="8"/>
  <c r="F38" i="8"/>
  <c r="F167" i="8"/>
  <c r="F9" i="8"/>
  <c r="F9" i="9"/>
  <c r="F17" i="9" s="1"/>
  <c r="G71" i="17"/>
  <c r="I209" i="15"/>
  <c r="K62" i="4"/>
  <c r="J120" i="5"/>
  <c r="L67" i="6"/>
  <c r="M67" i="6" s="1"/>
  <c r="L180" i="5"/>
  <c r="M180" i="5" s="1"/>
  <c r="C160" i="5"/>
  <c r="I112" i="3"/>
  <c r="F48" i="17" s="1"/>
  <c r="I126" i="3"/>
  <c r="I288" i="5"/>
  <c r="I290" i="5" s="1"/>
  <c r="I6" i="12"/>
  <c r="F46" i="17"/>
  <c r="I121" i="3"/>
  <c r="D75" i="9"/>
  <c r="E11" i="8"/>
  <c r="C20" i="17" s="1"/>
  <c r="E11" i="12"/>
  <c r="C18" i="17"/>
  <c r="H36" i="4"/>
  <c r="H146" i="4"/>
  <c r="H152" i="4"/>
  <c r="D199" i="13"/>
  <c r="L193" i="8"/>
  <c r="L73" i="9"/>
  <c r="M73" i="9" s="1"/>
  <c r="I112" i="17"/>
  <c r="M191" i="8"/>
  <c r="H213" i="8"/>
  <c r="E188" i="5"/>
  <c r="E69" i="6"/>
  <c r="J200" i="8"/>
  <c r="J17" i="12" s="1"/>
  <c r="G132" i="17" s="1"/>
  <c r="J67" i="10"/>
  <c r="G95" i="17"/>
  <c r="J74" i="10"/>
  <c r="G116" i="17"/>
  <c r="J153" i="8"/>
  <c r="J147" i="8"/>
  <c r="J119" i="8"/>
  <c r="J121" i="8" s="1"/>
  <c r="J81" i="3"/>
  <c r="J120" i="3"/>
  <c r="H75" i="10"/>
  <c r="K8" i="4"/>
  <c r="B117" i="17"/>
  <c r="K48" i="9" l="1"/>
  <c r="K14" i="13"/>
  <c r="K99" i="13"/>
  <c r="K107" i="13"/>
  <c r="J75" i="10"/>
  <c r="I116" i="8"/>
  <c r="H114" i="3"/>
  <c r="F31" i="5"/>
  <c r="F37" i="5"/>
  <c r="E13" i="12"/>
  <c r="C128" i="17" s="1"/>
  <c r="C126" i="17"/>
  <c r="I76" i="4"/>
  <c r="F11" i="8"/>
  <c r="D20" i="17" s="1"/>
  <c r="D18" i="17"/>
  <c r="F11" i="12"/>
  <c r="E71" i="6"/>
  <c r="J100" i="13"/>
  <c r="J106" i="13"/>
  <c r="F85" i="4"/>
  <c r="D32" i="12"/>
  <c r="G138" i="8"/>
  <c r="G135" i="8"/>
  <c r="H130" i="8"/>
  <c r="E22" i="12"/>
  <c r="C137" i="17" s="1"/>
  <c r="F288" i="15"/>
  <c r="C142" i="17"/>
  <c r="G9" i="8"/>
  <c r="G26" i="8"/>
  <c r="H26" i="8" s="1"/>
  <c r="G38" i="8"/>
  <c r="G167" i="8"/>
  <c r="G9" i="9"/>
  <c r="H9" i="9" s="1"/>
  <c r="H18" i="8"/>
  <c r="E15" i="4"/>
  <c r="D72" i="17" s="1"/>
  <c r="E63" i="4"/>
  <c r="F63" i="4" s="1"/>
  <c r="E208" i="15"/>
  <c r="D70" i="17"/>
  <c r="I130" i="8"/>
  <c r="E75" i="9"/>
  <c r="F8" i="6"/>
  <c r="F19" i="6"/>
  <c r="F11" i="5"/>
  <c r="D15" i="17"/>
  <c r="L180" i="8"/>
  <c r="L12" i="10"/>
  <c r="M12" i="10" s="1"/>
  <c r="C185" i="13"/>
  <c r="C196" i="13"/>
  <c r="M31" i="8"/>
  <c r="I91" i="13"/>
  <c r="I94" i="13"/>
  <c r="F15" i="4"/>
  <c r="D75" i="4"/>
  <c r="D210" i="15"/>
  <c r="C20" i="4"/>
  <c r="C21" i="4" s="1"/>
  <c r="C77" i="4"/>
  <c r="C79" i="4"/>
  <c r="C84" i="4" s="1"/>
  <c r="E43" i="17"/>
  <c r="G41" i="8"/>
  <c r="H41" i="8" s="1"/>
  <c r="G179" i="8"/>
  <c r="G12" i="9"/>
  <c r="H12" i="9" s="1"/>
  <c r="H21" i="8"/>
  <c r="B128" i="17"/>
  <c r="I8" i="12"/>
  <c r="F123" i="17" s="1"/>
  <c r="F121" i="17"/>
  <c r="G28" i="12"/>
  <c r="D148" i="17" s="1"/>
  <c r="D146" i="17"/>
  <c r="G85" i="4"/>
  <c r="H16" i="17"/>
  <c r="K200" i="8"/>
  <c r="K17" i="12" s="1"/>
  <c r="H132" i="17" s="1"/>
  <c r="K67" i="10"/>
  <c r="H95" i="17"/>
  <c r="J145" i="4"/>
  <c r="J153" i="4" s="1"/>
  <c r="H38" i="17"/>
  <c r="AB19" i="18"/>
  <c r="H71" i="17"/>
  <c r="J209" i="15"/>
  <c r="J76" i="4" s="1"/>
  <c r="J80" i="4" s="1"/>
  <c r="J85" i="4" s="1"/>
  <c r="L32" i="12" s="1"/>
  <c r="H152" i="17" s="1"/>
  <c r="M57" i="13"/>
  <c r="L66" i="13"/>
  <c r="M66" i="13"/>
  <c r="L64" i="13"/>
  <c r="L57" i="13"/>
  <c r="M64" i="13"/>
  <c r="H126" i="5"/>
  <c r="H129" i="5"/>
  <c r="J152" i="8"/>
  <c r="J155" i="8"/>
  <c r="H151" i="4"/>
  <c r="H154" i="4"/>
  <c r="I114" i="3"/>
  <c r="I127" i="3"/>
  <c r="G96" i="6"/>
  <c r="I293" i="5"/>
  <c r="E60" i="17"/>
  <c r="F169" i="8"/>
  <c r="F199" i="8"/>
  <c r="F16" i="12" s="1"/>
  <c r="F67" i="9"/>
  <c r="D94" i="17"/>
  <c r="E193" i="5"/>
  <c r="E196" i="5"/>
  <c r="J121" i="5"/>
  <c r="K137" i="5"/>
  <c r="K110" i="5"/>
  <c r="K112" i="5" s="1"/>
  <c r="K143" i="5"/>
  <c r="G295" i="5"/>
  <c r="H295" i="5" s="1"/>
  <c r="H293" i="5"/>
  <c r="I186" i="5"/>
  <c r="I35" i="5"/>
  <c r="I17" i="6"/>
  <c r="G116" i="8"/>
  <c r="H116" i="8" s="1"/>
  <c r="H114" i="8"/>
  <c r="B21" i="4"/>
  <c r="K74" i="10"/>
  <c r="H116" i="17"/>
  <c r="G195" i="8"/>
  <c r="G16" i="9"/>
  <c r="G45" i="8"/>
  <c r="H45" i="8" s="1"/>
  <c r="F10" i="4"/>
  <c r="J145" i="5"/>
  <c r="J142" i="5"/>
  <c r="E198" i="8"/>
  <c r="C118" i="17" s="1"/>
  <c r="E201" i="8"/>
  <c r="C96" i="17"/>
  <c r="K19" i="7"/>
  <c r="K8" i="7"/>
  <c r="F176" i="5"/>
  <c r="F194" i="5"/>
  <c r="F66" i="6"/>
  <c r="K12" i="12"/>
  <c r="H19" i="17"/>
  <c r="L187" i="5"/>
  <c r="L17" i="7"/>
  <c r="M17" i="7" s="1"/>
  <c r="C169" i="13"/>
  <c r="C177" i="13"/>
  <c r="M28" i="5"/>
  <c r="J285" i="5"/>
  <c r="J282" i="5"/>
  <c r="H16" i="9"/>
  <c r="I153" i="4"/>
  <c r="L191" i="5"/>
  <c r="L18" i="7"/>
  <c r="M18" i="7" s="1"/>
  <c r="C170" i="13"/>
  <c r="C178" i="13"/>
  <c r="L10" i="8"/>
  <c r="L168" i="8"/>
  <c r="B214" i="8" s="1"/>
  <c r="L36" i="8"/>
  <c r="M36" i="8" s="1"/>
  <c r="C182" i="13"/>
  <c r="C193" i="13"/>
  <c r="L9" i="10"/>
  <c r="J34" i="13"/>
  <c r="J25" i="13"/>
  <c r="J32" i="13"/>
  <c r="G35" i="5"/>
  <c r="H35" i="5" s="1"/>
  <c r="G186" i="5"/>
  <c r="G17" i="6"/>
  <c r="H17" i="6" s="1"/>
  <c r="H21" i="5"/>
  <c r="L73" i="3"/>
  <c r="B163" i="15" s="1"/>
  <c r="M73" i="3"/>
  <c r="L79" i="3"/>
  <c r="M79" i="3"/>
  <c r="M71" i="3"/>
  <c r="L135" i="5"/>
  <c r="M135" i="5"/>
  <c r="L275" i="5"/>
  <c r="M46" i="6"/>
  <c r="M275" i="5"/>
  <c r="L46" i="6"/>
  <c r="M145" i="8"/>
  <c r="L145" i="8"/>
  <c r="L46" i="9"/>
  <c r="M46" i="9"/>
  <c r="C162" i="5"/>
  <c r="C58" i="6"/>
  <c r="F37" i="8"/>
  <c r="F46" i="8"/>
  <c r="J136" i="8"/>
  <c r="J86" i="13"/>
  <c r="K86" i="13" s="1"/>
  <c r="J92" i="13"/>
  <c r="K277" i="5"/>
  <c r="K283" i="5"/>
  <c r="F81" i="17"/>
  <c r="B78" i="4"/>
  <c r="B81" i="4"/>
  <c r="G9" i="5"/>
  <c r="G23" i="5"/>
  <c r="G32" i="5"/>
  <c r="H32" i="5" s="1"/>
  <c r="G174" i="5"/>
  <c r="H174" i="5" s="1"/>
  <c r="G14" i="6"/>
  <c r="H18" i="5"/>
  <c r="K127" i="5"/>
  <c r="K105" i="5"/>
  <c r="K121" i="5"/>
  <c r="K42" i="6"/>
  <c r="K128" i="8"/>
  <c r="K41" i="9"/>
  <c r="H75" i="17"/>
  <c r="I108" i="13"/>
  <c r="I105" i="13"/>
  <c r="F132" i="17"/>
  <c r="K128" i="5"/>
  <c r="K43" i="6"/>
  <c r="K129" i="8"/>
  <c r="K137" i="8" s="1"/>
  <c r="K42" i="9"/>
  <c r="H76" i="17"/>
  <c r="K92" i="13"/>
  <c r="C105" i="17"/>
  <c r="D18" i="12"/>
  <c r="B131" i="17"/>
  <c r="H26" i="12"/>
  <c r="K100" i="13"/>
  <c r="J126" i="3"/>
  <c r="J112" i="3"/>
  <c r="G48" i="17" s="1"/>
  <c r="J288" i="5"/>
  <c r="J290" i="5" s="1"/>
  <c r="J6" i="12"/>
  <c r="G46" i="17"/>
  <c r="J121" i="3"/>
  <c r="H59" i="9"/>
  <c r="H215" i="8"/>
  <c r="I114" i="17"/>
  <c r="M193" i="8"/>
  <c r="H38" i="4"/>
  <c r="F43" i="17" s="1"/>
  <c r="F39" i="17"/>
  <c r="H46" i="4"/>
  <c r="J128" i="5"/>
  <c r="J43" i="6"/>
  <c r="J44" i="6" s="1"/>
  <c r="J129" i="8"/>
  <c r="J137" i="8" s="1"/>
  <c r="J42" i="9"/>
  <c r="G76" i="17"/>
  <c r="H38" i="8"/>
  <c r="J105" i="5"/>
  <c r="K119" i="8"/>
  <c r="K121" i="8" s="1"/>
  <c r="K147" i="8"/>
  <c r="K153" i="8"/>
  <c r="K81" i="3"/>
  <c r="K120" i="3"/>
  <c r="K32" i="13"/>
  <c r="K34" i="13"/>
  <c r="K25" i="13"/>
  <c r="I137" i="8"/>
  <c r="I41" i="8"/>
  <c r="I179" i="8"/>
  <c r="I12" i="9"/>
  <c r="I44" i="6"/>
  <c r="B84" i="4"/>
  <c r="G36" i="5"/>
  <c r="H36" i="5" s="1"/>
  <c r="G190" i="5"/>
  <c r="H190" i="5" s="1"/>
  <c r="G18" i="6"/>
  <c r="H18" i="6" s="1"/>
  <c r="E18" i="12"/>
  <c r="C133" i="17" s="1"/>
  <c r="C131" i="17"/>
  <c r="K144" i="5"/>
  <c r="K195" i="5"/>
  <c r="K66" i="7"/>
  <c r="C148" i="17"/>
  <c r="H28" i="12"/>
  <c r="K106" i="13"/>
  <c r="K17" i="10"/>
  <c r="M72" i="3"/>
  <c r="M80" i="3"/>
  <c r="L80" i="3"/>
  <c r="D162" i="15" s="1"/>
  <c r="L136" i="5"/>
  <c r="L120" i="5" s="1"/>
  <c r="M136" i="5"/>
  <c r="L47" i="6"/>
  <c r="L276" i="5"/>
  <c r="M47" i="6"/>
  <c r="M276" i="5"/>
  <c r="L146" i="8"/>
  <c r="M146" i="8"/>
  <c r="M47" i="9"/>
  <c r="L47" i="9"/>
  <c r="K84" i="13"/>
  <c r="B118" i="17"/>
  <c r="F61" i="4"/>
  <c r="F197" i="8"/>
  <c r="D117" i="17" s="1"/>
  <c r="F74" i="9"/>
  <c r="D115" i="17"/>
  <c r="N96" i="2"/>
  <c r="L196" i="8"/>
  <c r="L16" i="10"/>
  <c r="M16" i="10" s="1"/>
  <c r="C189" i="13"/>
  <c r="C200" i="13"/>
  <c r="L30" i="5"/>
  <c r="M30" i="5" s="1"/>
  <c r="L10" i="5"/>
  <c r="M10" i="5" s="1"/>
  <c r="L175" i="5"/>
  <c r="L14" i="7"/>
  <c r="C166" i="13"/>
  <c r="C171" i="13" s="1"/>
  <c r="C174" i="13"/>
  <c r="C179" i="13" s="1"/>
  <c r="I36" i="4"/>
  <c r="I146" i="4"/>
  <c r="I152" i="4"/>
  <c r="F208" i="15"/>
  <c r="J144" i="4"/>
  <c r="K144" i="4" s="1"/>
  <c r="H37" i="17"/>
  <c r="L19" i="18"/>
  <c r="G10" i="4"/>
  <c r="G48" i="4"/>
  <c r="G61" i="4"/>
  <c r="I18" i="5"/>
  <c r="I18" i="8"/>
  <c r="I26" i="12"/>
  <c r="E65" i="17"/>
  <c r="I25" i="8"/>
  <c r="I22" i="5"/>
  <c r="E81" i="17"/>
  <c r="H107" i="5"/>
  <c r="D21" i="12"/>
  <c r="E287" i="15"/>
  <c r="B141" i="17"/>
  <c r="D289" i="15"/>
  <c r="B143" i="17" s="1"/>
  <c r="F192" i="5"/>
  <c r="F70" i="6"/>
  <c r="K145" i="4" l="1"/>
  <c r="K153" i="4"/>
  <c r="J114" i="8"/>
  <c r="J116" i="8" s="1"/>
  <c r="C201" i="13"/>
  <c r="L195" i="5"/>
  <c r="L66" i="7"/>
  <c r="B161" i="5"/>
  <c r="L154" i="8"/>
  <c r="M154" i="8"/>
  <c r="L70" i="7"/>
  <c r="M70" i="7" s="1"/>
  <c r="F161" i="5"/>
  <c r="F58" i="7" s="1"/>
  <c r="M191" i="5"/>
  <c r="G169" i="8"/>
  <c r="G199" i="8"/>
  <c r="G16" i="12" s="1"/>
  <c r="H16" i="12" s="1"/>
  <c r="G67" i="9"/>
  <c r="E94" i="17"/>
  <c r="I16" i="17"/>
  <c r="B202" i="5" s="1"/>
  <c r="B76" i="7" s="1"/>
  <c r="L128" i="5"/>
  <c r="M128" i="5" s="1"/>
  <c r="L43" i="6"/>
  <c r="M43" i="6" s="1"/>
  <c r="L129" i="8"/>
  <c r="L137" i="8" s="1"/>
  <c r="M137" i="8" s="1"/>
  <c r="L42" i="9"/>
  <c r="M42" i="9" s="1"/>
  <c r="I76" i="17"/>
  <c r="B23" i="4"/>
  <c r="B86" i="4"/>
  <c r="D31" i="12"/>
  <c r="I181" i="8"/>
  <c r="I70" i="9"/>
  <c r="F103" i="17"/>
  <c r="J43" i="9"/>
  <c r="J8" i="12"/>
  <c r="G123" i="17" s="1"/>
  <c r="G121" i="17"/>
  <c r="B133" i="17"/>
  <c r="K126" i="5"/>
  <c r="K129" i="5"/>
  <c r="G8" i="6"/>
  <c r="H8" i="6" s="1"/>
  <c r="G19" i="6"/>
  <c r="H19" i="6" s="1"/>
  <c r="H14" i="6"/>
  <c r="G11" i="5"/>
  <c r="E17" i="17" s="1"/>
  <c r="E15" i="17"/>
  <c r="K285" i="5"/>
  <c r="K282" i="5"/>
  <c r="L48" i="6"/>
  <c r="M48" i="6"/>
  <c r="L78" i="3"/>
  <c r="D161" i="15"/>
  <c r="C190" i="13"/>
  <c r="G197" i="8"/>
  <c r="E117" i="17" s="1"/>
  <c r="G74" i="9"/>
  <c r="H74" i="9" s="1"/>
  <c r="E115" i="17"/>
  <c r="J129" i="5"/>
  <c r="J126" i="5"/>
  <c r="H167" i="8"/>
  <c r="F201" i="8"/>
  <c r="F198" i="8"/>
  <c r="D96" i="17"/>
  <c r="H9" i="5"/>
  <c r="G288" i="15"/>
  <c r="F22" i="12"/>
  <c r="D137" i="17" s="1"/>
  <c r="D142" i="17"/>
  <c r="H138" i="8"/>
  <c r="H135" i="8"/>
  <c r="H32" i="12"/>
  <c r="A152" i="17"/>
  <c r="F13" i="12"/>
  <c r="D126" i="17"/>
  <c r="K209" i="15"/>
  <c r="M120" i="5"/>
  <c r="G15" i="4"/>
  <c r="G63" i="4"/>
  <c r="E70" i="17"/>
  <c r="G208" i="15"/>
  <c r="H10" i="4"/>
  <c r="F67" i="17" s="1"/>
  <c r="H48" i="4"/>
  <c r="H61" i="4"/>
  <c r="J18" i="5"/>
  <c r="J18" i="8"/>
  <c r="J26" i="12"/>
  <c r="F65" i="17"/>
  <c r="J25" i="8"/>
  <c r="J22" i="5"/>
  <c r="G31" i="5"/>
  <c r="G37" i="5"/>
  <c r="L283" i="5"/>
  <c r="M283" i="5"/>
  <c r="L277" i="5"/>
  <c r="M277" i="5"/>
  <c r="L69" i="7"/>
  <c r="M69" i="7" s="1"/>
  <c r="E161" i="5"/>
  <c r="E58" i="7" s="1"/>
  <c r="M187" i="5"/>
  <c r="F196" i="5"/>
  <c r="F193" i="5"/>
  <c r="K145" i="5"/>
  <c r="K142" i="5"/>
  <c r="E21" i="12"/>
  <c r="E289" i="15"/>
  <c r="C143" i="17" s="1"/>
  <c r="C141" i="17"/>
  <c r="F287" i="15"/>
  <c r="I36" i="5"/>
  <c r="I190" i="5"/>
  <c r="I18" i="6"/>
  <c r="I26" i="8"/>
  <c r="I38" i="8"/>
  <c r="I9" i="8"/>
  <c r="I167" i="8"/>
  <c r="I9" i="9"/>
  <c r="J36" i="4"/>
  <c r="K36" i="4" s="1"/>
  <c r="J146" i="4"/>
  <c r="J152" i="4"/>
  <c r="K152" i="4" s="1"/>
  <c r="I154" i="4"/>
  <c r="I151" i="4"/>
  <c r="B247" i="15"/>
  <c r="B166" i="5" s="1"/>
  <c r="B60" i="7" s="1"/>
  <c r="L74" i="10"/>
  <c r="M74" i="10" s="1"/>
  <c r="I116" i="17"/>
  <c r="I214" i="8"/>
  <c r="I59" i="10" s="1"/>
  <c r="L144" i="5"/>
  <c r="M144" i="5"/>
  <c r="M175" i="5"/>
  <c r="M129" i="8"/>
  <c r="K155" i="8"/>
  <c r="K152" i="8"/>
  <c r="K43" i="9"/>
  <c r="K107" i="5"/>
  <c r="H81" i="17" s="1"/>
  <c r="K21" i="5"/>
  <c r="K21" i="8"/>
  <c r="H77" i="17"/>
  <c r="G176" i="5"/>
  <c r="G194" i="5"/>
  <c r="G66" i="6"/>
  <c r="J130" i="8"/>
  <c r="L48" i="9"/>
  <c r="M48" i="9"/>
  <c r="M110" i="5"/>
  <c r="L143" i="5"/>
  <c r="M143" i="5"/>
  <c r="L137" i="5"/>
  <c r="L110" i="5"/>
  <c r="M137" i="5"/>
  <c r="G188" i="5"/>
  <c r="H188" i="5" s="1"/>
  <c r="G69" i="6"/>
  <c r="H69" i="6" s="1"/>
  <c r="H186" i="5"/>
  <c r="H127" i="17"/>
  <c r="F71" i="6"/>
  <c r="M196" i="8"/>
  <c r="L119" i="5"/>
  <c r="E62" i="17"/>
  <c r="K75" i="10"/>
  <c r="H199" i="8"/>
  <c r="G181" i="8"/>
  <c r="G70" i="9"/>
  <c r="H70" i="9" s="1"/>
  <c r="E103" i="17"/>
  <c r="H179" i="8"/>
  <c r="I104" i="17"/>
  <c r="L70" i="10"/>
  <c r="M70" i="10" s="1"/>
  <c r="E214" i="8"/>
  <c r="E59" i="10" s="1"/>
  <c r="M180" i="8"/>
  <c r="D17" i="17"/>
  <c r="H11" i="5"/>
  <c r="E75" i="4"/>
  <c r="F75" i="4" s="1"/>
  <c r="E210" i="15"/>
  <c r="F210" i="15" s="1"/>
  <c r="G37" i="8"/>
  <c r="H37" i="8" s="1"/>
  <c r="G46" i="8"/>
  <c r="J105" i="13"/>
  <c r="K108" i="13" s="1"/>
  <c r="J108" i="13"/>
  <c r="I80" i="4"/>
  <c r="K76" i="4"/>
  <c r="M195" i="5"/>
  <c r="J21" i="5"/>
  <c r="J107" i="5"/>
  <c r="J21" i="8"/>
  <c r="G77" i="17"/>
  <c r="K44" i="6"/>
  <c r="L12" i="12"/>
  <c r="I127" i="17" s="1"/>
  <c r="I19" i="17"/>
  <c r="B231" i="8" s="1"/>
  <c r="M10" i="8"/>
  <c r="F18" i="12"/>
  <c r="D133" i="17" s="1"/>
  <c r="D131" i="17"/>
  <c r="B59" i="10"/>
  <c r="I32" i="12"/>
  <c r="C81" i="4"/>
  <c r="C78" i="4"/>
  <c r="D20" i="4"/>
  <c r="D77" i="4"/>
  <c r="D79" i="4"/>
  <c r="I135" i="8"/>
  <c r="I138" i="8"/>
  <c r="I28" i="12"/>
  <c r="E146" i="17"/>
  <c r="D23" i="12"/>
  <c r="B138" i="17" s="1"/>
  <c r="B136" i="17"/>
  <c r="I45" i="8"/>
  <c r="I195" i="8"/>
  <c r="I16" i="9"/>
  <c r="I32" i="5"/>
  <c r="I174" i="5"/>
  <c r="I23" i="5"/>
  <c r="I14" i="6"/>
  <c r="I9" i="5"/>
  <c r="E67" i="17"/>
  <c r="I38" i="4"/>
  <c r="G43" i="17" s="1"/>
  <c r="G39" i="17"/>
  <c r="I46" i="4"/>
  <c r="L8" i="7"/>
  <c r="M8" i="7" s="1"/>
  <c r="L19" i="7"/>
  <c r="M19" i="7" s="1"/>
  <c r="M14" i="7"/>
  <c r="L284" i="5"/>
  <c r="M284" i="5"/>
  <c r="K71" i="7"/>
  <c r="M66" i="7"/>
  <c r="G192" i="5"/>
  <c r="H192" i="5" s="1"/>
  <c r="G70" i="6"/>
  <c r="H70" i="6" s="1"/>
  <c r="K112" i="3"/>
  <c r="H48" i="17" s="1"/>
  <c r="K126" i="3"/>
  <c r="K288" i="5"/>
  <c r="K290" i="5" s="1"/>
  <c r="K6" i="12"/>
  <c r="H46" i="17"/>
  <c r="K121" i="3"/>
  <c r="J114" i="3"/>
  <c r="F62" i="17" s="1"/>
  <c r="J127" i="3"/>
  <c r="J293" i="5"/>
  <c r="J295" i="5" s="1"/>
  <c r="H96" i="6"/>
  <c r="F60" i="17"/>
  <c r="K114" i="8"/>
  <c r="K116" i="8" s="1"/>
  <c r="K130" i="8"/>
  <c r="K136" i="8"/>
  <c r="J91" i="13"/>
  <c r="K94" i="13" s="1"/>
  <c r="J94" i="13"/>
  <c r="K146" i="4"/>
  <c r="M153" i="8"/>
  <c r="L119" i="8"/>
  <c r="L147" i="8"/>
  <c r="M119" i="8"/>
  <c r="M147" i="8"/>
  <c r="L153" i="8"/>
  <c r="L81" i="3"/>
  <c r="M81" i="3"/>
  <c r="M78" i="3"/>
  <c r="L120" i="3"/>
  <c r="L17" i="10"/>
  <c r="M17" i="10" s="1"/>
  <c r="M9" i="10"/>
  <c r="L200" i="8"/>
  <c r="L17" i="12" s="1"/>
  <c r="L67" i="10"/>
  <c r="I95" i="17"/>
  <c r="H23" i="5"/>
  <c r="H194" i="5"/>
  <c r="I188" i="5"/>
  <c r="I69" i="6"/>
  <c r="F75" i="9"/>
  <c r="H67" i="9"/>
  <c r="I295" i="5"/>
  <c r="M168" i="8"/>
  <c r="H66" i="6"/>
  <c r="C23" i="4"/>
  <c r="C86" i="4"/>
  <c r="E31" i="12"/>
  <c r="G17" i="9"/>
  <c r="H17" i="9" s="1"/>
  <c r="G11" i="8"/>
  <c r="G11" i="12"/>
  <c r="E18" i="17"/>
  <c r="H9" i="8"/>
  <c r="H37" i="5"/>
  <c r="H31" i="5"/>
  <c r="H169" i="8"/>
  <c r="H195" i="8"/>
  <c r="B283" i="15" l="1"/>
  <c r="B219" i="8" s="1"/>
  <c r="B61" i="10" s="1"/>
  <c r="H197" i="8"/>
  <c r="J59" i="10"/>
  <c r="M12" i="12"/>
  <c r="L155" i="8"/>
  <c r="L152" i="8"/>
  <c r="M155" i="8"/>
  <c r="M152" i="8"/>
  <c r="E105" i="17"/>
  <c r="H181" i="8"/>
  <c r="K41" i="8"/>
  <c r="K179" i="8"/>
  <c r="K12" i="9"/>
  <c r="J36" i="5"/>
  <c r="J18" i="6"/>
  <c r="J190" i="5"/>
  <c r="E33" i="12"/>
  <c r="B153" i="17" s="1"/>
  <c r="B151" i="17"/>
  <c r="L75" i="10"/>
  <c r="M75" i="10" s="1"/>
  <c r="M67" i="10"/>
  <c r="K138" i="8"/>
  <c r="K135" i="8"/>
  <c r="I194" i="5"/>
  <c r="I176" i="5"/>
  <c r="I66" i="6"/>
  <c r="E20" i="17"/>
  <c r="H11" i="8"/>
  <c r="K8" i="12"/>
  <c r="H123" i="17" s="1"/>
  <c r="H121" i="17"/>
  <c r="I8" i="6"/>
  <c r="I19" i="6"/>
  <c r="E148" i="17"/>
  <c r="D21" i="4"/>
  <c r="L55" i="7"/>
  <c r="I85" i="4"/>
  <c r="K80" i="4"/>
  <c r="J138" i="8"/>
  <c r="J135" i="8"/>
  <c r="J151" i="4"/>
  <c r="K154" i="4" s="1"/>
  <c r="J154" i="4"/>
  <c r="I199" i="8"/>
  <c r="I169" i="8"/>
  <c r="I67" i="9"/>
  <c r="F94" i="17"/>
  <c r="E23" i="12"/>
  <c r="C138" i="17" s="1"/>
  <c r="C136" i="17"/>
  <c r="M282" i="5"/>
  <c r="L285" i="5"/>
  <c r="L282" i="5"/>
  <c r="M285" i="5"/>
  <c r="J28" i="12"/>
  <c r="F148" i="17" s="1"/>
  <c r="F146" i="17"/>
  <c r="D128" i="17"/>
  <c r="M200" i="8"/>
  <c r="D33" i="12"/>
  <c r="A151" i="17"/>
  <c r="G201" i="8"/>
  <c r="G198" i="8"/>
  <c r="E118" i="17" s="1"/>
  <c r="E96" i="17"/>
  <c r="J41" i="8"/>
  <c r="J179" i="8"/>
  <c r="J12" i="9"/>
  <c r="G71" i="6"/>
  <c r="H71" i="6" s="1"/>
  <c r="I11" i="8"/>
  <c r="I11" i="12"/>
  <c r="F18" i="17"/>
  <c r="G81" i="17"/>
  <c r="K91" i="13"/>
  <c r="E20" i="4"/>
  <c r="E21" i="4" s="1"/>
  <c r="E77" i="4"/>
  <c r="E79" i="4"/>
  <c r="E84" i="4" s="1"/>
  <c r="L121" i="5"/>
  <c r="L127" i="5"/>
  <c r="M127" i="5" s="1"/>
  <c r="L105" i="5"/>
  <c r="L42" i="6"/>
  <c r="L128" i="8"/>
  <c r="L41" i="9"/>
  <c r="I75" i="17"/>
  <c r="M119" i="5"/>
  <c r="M142" i="5"/>
  <c r="L145" i="5"/>
  <c r="L142" i="5"/>
  <c r="M145" i="5"/>
  <c r="K35" i="5"/>
  <c r="K186" i="5"/>
  <c r="K17" i="6"/>
  <c r="I192" i="5"/>
  <c r="I70" i="6"/>
  <c r="J45" i="8"/>
  <c r="J195" i="8"/>
  <c r="J16" i="9"/>
  <c r="J9" i="5"/>
  <c r="J23" i="5"/>
  <c r="J32" i="5"/>
  <c r="J174" i="5"/>
  <c r="J14" i="6"/>
  <c r="G75" i="4"/>
  <c r="G210" i="15"/>
  <c r="K151" i="4"/>
  <c r="H46" i="8"/>
  <c r="F105" i="17"/>
  <c r="G75" i="9"/>
  <c r="G161" i="5"/>
  <c r="B58" i="7"/>
  <c r="G58" i="7" s="1"/>
  <c r="K105" i="13"/>
  <c r="I37" i="5"/>
  <c r="I31" i="5"/>
  <c r="L112" i="5"/>
  <c r="M112" i="5"/>
  <c r="J38" i="4"/>
  <c r="H39" i="17"/>
  <c r="J46" i="4"/>
  <c r="F21" i="12"/>
  <c r="F289" i="15"/>
  <c r="D143" i="17" s="1"/>
  <c r="G287" i="15"/>
  <c r="D141" i="17"/>
  <c r="J26" i="8"/>
  <c r="J9" i="8"/>
  <c r="J38" i="8"/>
  <c r="J167" i="8"/>
  <c r="J9" i="9"/>
  <c r="G13" i="12"/>
  <c r="E128" i="17" s="1"/>
  <c r="E126" i="17"/>
  <c r="H11" i="12"/>
  <c r="L112" i="3"/>
  <c r="I48" i="17" s="1"/>
  <c r="M120" i="3"/>
  <c r="L126" i="3"/>
  <c r="M112" i="3"/>
  <c r="M126" i="3"/>
  <c r="L288" i="5"/>
  <c r="M288" i="5"/>
  <c r="L6" i="12"/>
  <c r="I46" i="17"/>
  <c r="L121" i="3"/>
  <c r="M121" i="3" s="1"/>
  <c r="M121" i="8"/>
  <c r="L121" i="8"/>
  <c r="K127" i="3"/>
  <c r="K114" i="3"/>
  <c r="G62" i="17" s="1"/>
  <c r="I96" i="6"/>
  <c r="K293" i="5"/>
  <c r="G60" i="17"/>
  <c r="I48" i="4"/>
  <c r="I61" i="4"/>
  <c r="I10" i="4"/>
  <c r="G67" i="17" s="1"/>
  <c r="K18" i="5"/>
  <c r="K18" i="8"/>
  <c r="K26" i="12"/>
  <c r="G65" i="17"/>
  <c r="K22" i="5"/>
  <c r="K25" i="8"/>
  <c r="I197" i="8"/>
  <c r="I74" i="9"/>
  <c r="F115" i="17"/>
  <c r="D84" i="4"/>
  <c r="F79" i="4"/>
  <c r="J214" i="8"/>
  <c r="H75" i="9"/>
  <c r="I132" i="17"/>
  <c r="M17" i="12"/>
  <c r="I11" i="5"/>
  <c r="F15" i="17"/>
  <c r="D78" i="4"/>
  <c r="D81" i="4"/>
  <c r="E152" i="17"/>
  <c r="J35" i="5"/>
  <c r="J186" i="5"/>
  <c r="J17" i="6"/>
  <c r="G196" i="5"/>
  <c r="G193" i="5"/>
  <c r="H193" i="5" s="1"/>
  <c r="H176" i="5"/>
  <c r="I17" i="9"/>
  <c r="I46" i="8"/>
  <c r="I37" i="8"/>
  <c r="H15" i="4"/>
  <c r="F72" i="17" s="1"/>
  <c r="H63" i="4"/>
  <c r="F70" i="17"/>
  <c r="H208" i="15"/>
  <c r="E72" i="17"/>
  <c r="G22" i="12"/>
  <c r="H288" i="15"/>
  <c r="E142" i="17"/>
  <c r="I288" i="15"/>
  <c r="D118" i="17"/>
  <c r="H198" i="8"/>
  <c r="H201" i="8"/>
  <c r="D163" i="15"/>
  <c r="B14" i="3"/>
  <c r="L155" i="5"/>
  <c r="G18" i="12"/>
  <c r="E133" i="17" s="1"/>
  <c r="E131" i="17"/>
  <c r="L71" i="7"/>
  <c r="M71" i="7" s="1"/>
  <c r="J17" i="9" l="1"/>
  <c r="H18" i="12"/>
  <c r="F21" i="4"/>
  <c r="H75" i="4"/>
  <c r="H210" i="15"/>
  <c r="D23" i="4"/>
  <c r="D86" i="4"/>
  <c r="F31" i="12"/>
  <c r="F84" i="4"/>
  <c r="K295" i="5"/>
  <c r="J10" i="4"/>
  <c r="H67" i="17" s="1"/>
  <c r="J48" i="4"/>
  <c r="J61" i="4"/>
  <c r="L18" i="5"/>
  <c r="L18" i="8"/>
  <c r="H65" i="17"/>
  <c r="L26" i="12"/>
  <c r="L22" i="5"/>
  <c r="L25" i="8"/>
  <c r="M25" i="8" s="1"/>
  <c r="L21" i="5"/>
  <c r="L107" i="5"/>
  <c r="L21" i="8"/>
  <c r="I77" i="17"/>
  <c r="M105" i="5"/>
  <c r="J188" i="5"/>
  <c r="J69" i="6"/>
  <c r="H196" i="5"/>
  <c r="M155" i="5"/>
  <c r="I85" i="17"/>
  <c r="K155" i="5"/>
  <c r="F117" i="17"/>
  <c r="K36" i="5"/>
  <c r="K190" i="5"/>
  <c r="K18" i="6"/>
  <c r="K9" i="5"/>
  <c r="K23" i="5"/>
  <c r="K32" i="5"/>
  <c r="K174" i="5"/>
  <c r="K14" i="6"/>
  <c r="M18" i="5"/>
  <c r="J37" i="8"/>
  <c r="J46" i="8"/>
  <c r="F23" i="12"/>
  <c r="D138" i="17" s="1"/>
  <c r="D136" i="17"/>
  <c r="J176" i="5"/>
  <c r="J194" i="5"/>
  <c r="J66" i="6"/>
  <c r="L44" i="6"/>
  <c r="M44" i="6" s="1"/>
  <c r="M42" i="6"/>
  <c r="E23" i="4"/>
  <c r="E86" i="4"/>
  <c r="G31" i="12"/>
  <c r="F20" i="17"/>
  <c r="H13" i="12"/>
  <c r="F20" i="4"/>
  <c r="M6" i="12"/>
  <c r="L8" i="12"/>
  <c r="I123" i="17" s="1"/>
  <c r="M8" i="12"/>
  <c r="I121" i="17"/>
  <c r="J169" i="8"/>
  <c r="J199" i="8"/>
  <c r="J16" i="12" s="1"/>
  <c r="J67" i="9"/>
  <c r="G94" i="17"/>
  <c r="E78" i="4"/>
  <c r="F78" i="4" s="1"/>
  <c r="E81" i="4"/>
  <c r="A153" i="17"/>
  <c r="F17" i="17"/>
  <c r="K10" i="4"/>
  <c r="I15" i="4"/>
  <c r="I63" i="4"/>
  <c r="G70" i="17"/>
  <c r="I208" i="15"/>
  <c r="G21" i="12"/>
  <c r="H287" i="15"/>
  <c r="H289" i="15"/>
  <c r="G289" i="15"/>
  <c r="E143" i="17" s="1"/>
  <c r="I287" i="15"/>
  <c r="E141" i="17"/>
  <c r="G20" i="4"/>
  <c r="G77" i="4"/>
  <c r="G79" i="4"/>
  <c r="J31" i="5"/>
  <c r="J37" i="5"/>
  <c r="K188" i="5"/>
  <c r="K69" i="6"/>
  <c r="L43" i="9"/>
  <c r="M43" i="9" s="1"/>
  <c r="M41" i="9"/>
  <c r="I198" i="8"/>
  <c r="I201" i="8"/>
  <c r="F96" i="17"/>
  <c r="K32" i="12"/>
  <c r="B75" i="7"/>
  <c r="B227" i="8" s="1"/>
  <c r="K85" i="4"/>
  <c r="I71" i="6"/>
  <c r="J192" i="5"/>
  <c r="J70" i="6"/>
  <c r="J197" i="8"/>
  <c r="G117" i="17" s="1"/>
  <c r="J74" i="9"/>
  <c r="G115" i="17"/>
  <c r="I75" i="9"/>
  <c r="K46" i="4"/>
  <c r="H22" i="12"/>
  <c r="E137" i="17"/>
  <c r="F77" i="4"/>
  <c r="K28" i="12"/>
  <c r="G146" i="17"/>
  <c r="M26" i="12"/>
  <c r="I22" i="12"/>
  <c r="F137" i="17" s="1"/>
  <c r="J288" i="15"/>
  <c r="F142" i="17"/>
  <c r="K45" i="8"/>
  <c r="K195" i="8"/>
  <c r="K16" i="9"/>
  <c r="K9" i="8"/>
  <c r="K38" i="8"/>
  <c r="K26" i="8"/>
  <c r="K167" i="8"/>
  <c r="K9" i="9"/>
  <c r="K48" i="4"/>
  <c r="L114" i="3"/>
  <c r="L127" i="3"/>
  <c r="M127" i="3" s="1"/>
  <c r="J96" i="6"/>
  <c r="K96" i="6" s="1"/>
  <c r="L293" i="5"/>
  <c r="L295" i="5" s="1"/>
  <c r="H60" i="17"/>
  <c r="L290" i="5"/>
  <c r="M290" i="5"/>
  <c r="J11" i="8"/>
  <c r="G20" i="17" s="1"/>
  <c r="J11" i="12"/>
  <c r="G18" i="17"/>
  <c r="H43" i="17"/>
  <c r="K38" i="4"/>
  <c r="J8" i="6"/>
  <c r="J19" i="6"/>
  <c r="J11" i="5"/>
  <c r="G17" i="17" s="1"/>
  <c r="G15" i="17"/>
  <c r="L136" i="8"/>
  <c r="M136" i="8" s="1"/>
  <c r="L114" i="8"/>
  <c r="L130" i="8"/>
  <c r="M128" i="8"/>
  <c r="L129" i="5"/>
  <c r="L126" i="5"/>
  <c r="M121" i="5"/>
  <c r="I13" i="12"/>
  <c r="F126" i="17"/>
  <c r="J181" i="8"/>
  <c r="J70" i="9"/>
  <c r="G103" i="17"/>
  <c r="I16" i="12"/>
  <c r="M55" i="7"/>
  <c r="M208" i="8"/>
  <c r="M56" i="10"/>
  <c r="L208" i="8"/>
  <c r="L56" i="10"/>
  <c r="L37" i="12"/>
  <c r="I90" i="17"/>
  <c r="K55" i="7"/>
  <c r="I193" i="5"/>
  <c r="I196" i="5"/>
  <c r="K181" i="8"/>
  <c r="H105" i="17" s="1"/>
  <c r="K70" i="9"/>
  <c r="H103" i="17"/>
  <c r="K61" i="4"/>
  <c r="G72" i="17" l="1"/>
  <c r="G33" i="12"/>
  <c r="D153" i="17" s="1"/>
  <c r="D151" i="17"/>
  <c r="M37" i="12"/>
  <c r="I157" i="17"/>
  <c r="K37" i="12"/>
  <c r="H157" i="17" s="1"/>
  <c r="K208" i="8"/>
  <c r="K56" i="10"/>
  <c r="H90" i="17"/>
  <c r="J55" i="7"/>
  <c r="I18" i="12"/>
  <c r="F131" i="17"/>
  <c r="M126" i="5"/>
  <c r="M129" i="5"/>
  <c r="L116" i="8"/>
  <c r="M116" i="8" s="1"/>
  <c r="M114" i="8"/>
  <c r="H62" i="17"/>
  <c r="M114" i="3"/>
  <c r="K37" i="8"/>
  <c r="K46" i="8"/>
  <c r="J22" i="12"/>
  <c r="G137" i="17" s="1"/>
  <c r="K288" i="15"/>
  <c r="G142" i="17"/>
  <c r="G148" i="17"/>
  <c r="I21" i="12"/>
  <c r="I289" i="15"/>
  <c r="F143" i="17" s="1"/>
  <c r="J287" i="15"/>
  <c r="F141" i="17"/>
  <c r="H21" i="12"/>
  <c r="G23" i="12"/>
  <c r="E138" i="17" s="1"/>
  <c r="H23" i="12"/>
  <c r="E136" i="17"/>
  <c r="J75" i="9"/>
  <c r="J196" i="5"/>
  <c r="J193" i="5"/>
  <c r="K192" i="5"/>
  <c r="K70" i="6"/>
  <c r="H85" i="17"/>
  <c r="J155" i="5"/>
  <c r="L35" i="5"/>
  <c r="M35" i="5" s="1"/>
  <c r="L186" i="5"/>
  <c r="L17" i="6"/>
  <c r="M17" i="6" s="1"/>
  <c r="B169" i="13"/>
  <c r="D169" i="13" s="1"/>
  <c r="B177" i="13"/>
  <c r="D177" i="13" s="1"/>
  <c r="M21" i="5"/>
  <c r="L28" i="12"/>
  <c r="H148" i="17" s="1"/>
  <c r="H146" i="17"/>
  <c r="J15" i="4"/>
  <c r="H72" i="17" s="1"/>
  <c r="J63" i="4"/>
  <c r="H70" i="17"/>
  <c r="J208" i="15"/>
  <c r="M295" i="5"/>
  <c r="F86" i="4"/>
  <c r="I75" i="4"/>
  <c r="I210" i="15"/>
  <c r="F23" i="4"/>
  <c r="K17" i="9"/>
  <c r="K11" i="8"/>
  <c r="H20" i="17" s="1"/>
  <c r="K11" i="12"/>
  <c r="H18" i="17"/>
  <c r="G152" i="17"/>
  <c r="M32" i="12"/>
  <c r="F118" i="17"/>
  <c r="G21" i="4"/>
  <c r="J201" i="8"/>
  <c r="J198" i="8"/>
  <c r="G118" i="17" s="1"/>
  <c r="G96" i="17"/>
  <c r="J71" i="6"/>
  <c r="K8" i="6"/>
  <c r="K19" i="6"/>
  <c r="K11" i="5"/>
  <c r="H17" i="17" s="1"/>
  <c r="H15" i="17"/>
  <c r="L179" i="8"/>
  <c r="L41" i="8"/>
  <c r="M41" i="8" s="1"/>
  <c r="L12" i="9"/>
  <c r="M12" i="9" s="1"/>
  <c r="B196" i="13"/>
  <c r="D196" i="13" s="1"/>
  <c r="B185" i="13"/>
  <c r="D185" i="13" s="1"/>
  <c r="M21" i="8"/>
  <c r="L195" i="8"/>
  <c r="L45" i="8"/>
  <c r="M45" i="8" s="1"/>
  <c r="L16" i="9"/>
  <c r="M16" i="9" s="1"/>
  <c r="B200" i="13"/>
  <c r="D200" i="13" s="1"/>
  <c r="B189" i="13"/>
  <c r="D189" i="13" s="1"/>
  <c r="L9" i="8"/>
  <c r="M9" i="8" s="1"/>
  <c r="L26" i="8"/>
  <c r="L38" i="8"/>
  <c r="M38" i="8" s="1"/>
  <c r="L167" i="8"/>
  <c r="L9" i="9"/>
  <c r="M9" i="9" s="1"/>
  <c r="B182" i="13"/>
  <c r="B193" i="13"/>
  <c r="M18" i="8"/>
  <c r="F128" i="17"/>
  <c r="K197" i="8"/>
  <c r="H117" i="17" s="1"/>
  <c r="K74" i="9"/>
  <c r="H115" i="17"/>
  <c r="G78" i="4"/>
  <c r="G81" i="4"/>
  <c r="J18" i="12"/>
  <c r="G133" i="17" s="1"/>
  <c r="G131" i="17"/>
  <c r="K31" i="5"/>
  <c r="K37" i="5"/>
  <c r="G105" i="17"/>
  <c r="L138" i="8"/>
  <c r="L135" i="8"/>
  <c r="M130" i="8"/>
  <c r="J13" i="12"/>
  <c r="G128" i="17" s="1"/>
  <c r="G126" i="17"/>
  <c r="K169" i="8"/>
  <c r="K199" i="8"/>
  <c r="K67" i="9"/>
  <c r="H94" i="17"/>
  <c r="G84" i="4"/>
  <c r="K63" i="4"/>
  <c r="K176" i="5"/>
  <c r="K194" i="5"/>
  <c r="K66" i="6"/>
  <c r="I81" i="17"/>
  <c r="M107" i="5"/>
  <c r="L36" i="5"/>
  <c r="M36" i="5" s="1"/>
  <c r="L190" i="5"/>
  <c r="L18" i="6"/>
  <c r="M18" i="6" s="1"/>
  <c r="B170" i="13"/>
  <c r="D170" i="13" s="1"/>
  <c r="B178" i="13"/>
  <c r="D178" i="13" s="1"/>
  <c r="M22" i="5"/>
  <c r="L9" i="5"/>
  <c r="L23" i="5"/>
  <c r="M23" i="5" s="1"/>
  <c r="L174" i="5"/>
  <c r="M174" i="5" s="1"/>
  <c r="L32" i="5"/>
  <c r="M32" i="5" s="1"/>
  <c r="L14" i="6"/>
  <c r="B166" i="13"/>
  <c r="B174" i="13"/>
  <c r="M293" i="5"/>
  <c r="F33" i="12"/>
  <c r="C151" i="17"/>
  <c r="H31" i="12"/>
  <c r="H20" i="4"/>
  <c r="H21" i="4" s="1"/>
  <c r="H77" i="4"/>
  <c r="H79" i="4"/>
  <c r="H84" i="4" s="1"/>
  <c r="F81" i="4"/>
  <c r="B160" i="5" l="1"/>
  <c r="L11" i="5"/>
  <c r="I17" i="17" s="1"/>
  <c r="B203" i="5" s="1"/>
  <c r="I15" i="17"/>
  <c r="B201" i="5" s="1"/>
  <c r="B76" i="6" s="1"/>
  <c r="K196" i="5"/>
  <c r="K193" i="5"/>
  <c r="L192" i="5"/>
  <c r="M192" i="5" s="1"/>
  <c r="L70" i="6"/>
  <c r="K75" i="9"/>
  <c r="D193" i="13"/>
  <c r="D201" i="13" s="1"/>
  <c r="B201" i="13"/>
  <c r="L188" i="5"/>
  <c r="M188" i="5" s="1"/>
  <c r="L69" i="6"/>
  <c r="M69" i="6" s="1"/>
  <c r="M186" i="5"/>
  <c r="E160" i="5"/>
  <c r="F160" i="5"/>
  <c r="M11" i="5"/>
  <c r="I23" i="12"/>
  <c r="F138" i="17" s="1"/>
  <c r="F136" i="17"/>
  <c r="K22" i="12"/>
  <c r="H137" i="17" s="1"/>
  <c r="L288" i="15"/>
  <c r="H142" i="17"/>
  <c r="K15" i="4"/>
  <c r="H78" i="4"/>
  <c r="H81" i="4"/>
  <c r="L19" i="6"/>
  <c r="M19" i="6" s="1"/>
  <c r="L8" i="6"/>
  <c r="M8" i="6" s="1"/>
  <c r="L199" i="8"/>
  <c r="L16" i="12" s="1"/>
  <c r="L169" i="8"/>
  <c r="L67" i="9"/>
  <c r="I94" i="17"/>
  <c r="M167" i="8"/>
  <c r="B213" i="8"/>
  <c r="L197" i="8"/>
  <c r="L74" i="9"/>
  <c r="I115" i="17"/>
  <c r="I213" i="8"/>
  <c r="M9" i="5"/>
  <c r="D174" i="13"/>
  <c r="D179" i="13" s="1"/>
  <c r="B179" i="13"/>
  <c r="L194" i="5"/>
  <c r="L176" i="5"/>
  <c r="L66" i="6"/>
  <c r="K71" i="6"/>
  <c r="M66" i="6"/>
  <c r="G23" i="4"/>
  <c r="G86" i="4"/>
  <c r="I31" i="12"/>
  <c r="K16" i="12"/>
  <c r="M195" i="8"/>
  <c r="D182" i="13"/>
  <c r="D190" i="13" s="1"/>
  <c r="B190" i="13"/>
  <c r="B282" i="15" s="1"/>
  <c r="L55" i="6" s="1"/>
  <c r="L46" i="8"/>
  <c r="L37" i="8"/>
  <c r="M46" i="8" s="1"/>
  <c r="L181" i="8"/>
  <c r="L70" i="9"/>
  <c r="M70" i="9" s="1"/>
  <c r="I103" i="17"/>
  <c r="E213" i="8"/>
  <c r="M179" i="8"/>
  <c r="K13" i="12"/>
  <c r="H128" i="17" s="1"/>
  <c r="H126" i="17"/>
  <c r="M17" i="9"/>
  <c r="J75" i="4"/>
  <c r="K75" i="4" s="1"/>
  <c r="J210" i="15"/>
  <c r="K210" i="15" s="1"/>
  <c r="M190" i="5"/>
  <c r="M28" i="12"/>
  <c r="F133" i="17"/>
  <c r="M14" i="6"/>
  <c r="C153" i="17"/>
  <c r="H33" i="12"/>
  <c r="B162" i="5"/>
  <c r="G160" i="5"/>
  <c r="G162" i="5" s="1"/>
  <c r="B58" i="6"/>
  <c r="M138" i="8"/>
  <c r="M135" i="8"/>
  <c r="M74" i="9"/>
  <c r="H23" i="4"/>
  <c r="H86" i="4"/>
  <c r="J31" i="12"/>
  <c r="D166" i="13"/>
  <c r="D171" i="13" s="1"/>
  <c r="B171" i="13"/>
  <c r="L37" i="5"/>
  <c r="L31" i="5"/>
  <c r="M37" i="5" s="1"/>
  <c r="M194" i="5"/>
  <c r="K201" i="8"/>
  <c r="K198" i="8"/>
  <c r="H118" i="17" s="1"/>
  <c r="H96" i="17"/>
  <c r="M169" i="8"/>
  <c r="L17" i="9"/>
  <c r="L11" i="8"/>
  <c r="I20" i="17" s="1"/>
  <c r="B232" i="8" s="1"/>
  <c r="L11" i="12"/>
  <c r="M11" i="12" s="1"/>
  <c r="I18" i="17"/>
  <c r="B230" i="8" s="1"/>
  <c r="I20" i="4"/>
  <c r="I77" i="4"/>
  <c r="I79" i="4"/>
  <c r="I84" i="4" s="1"/>
  <c r="G85" i="17"/>
  <c r="I155" i="5"/>
  <c r="M70" i="6"/>
  <c r="J21" i="12"/>
  <c r="J289" i="15"/>
  <c r="G143" i="17" s="1"/>
  <c r="K287" i="15"/>
  <c r="G141" i="17"/>
  <c r="M26" i="8"/>
  <c r="J208" i="8"/>
  <c r="J56" i="10"/>
  <c r="J37" i="12"/>
  <c r="G157" i="17" s="1"/>
  <c r="G90" i="17"/>
  <c r="I55" i="7"/>
  <c r="K208" i="15"/>
  <c r="M11" i="8" l="1"/>
  <c r="M199" i="8"/>
  <c r="L75" i="9"/>
  <c r="M75" i="9" s="1"/>
  <c r="B246" i="15"/>
  <c r="L154" i="5" s="1"/>
  <c r="M156" i="5" s="1"/>
  <c r="J33" i="12"/>
  <c r="F153" i="17" s="1"/>
  <c r="F151" i="17"/>
  <c r="M31" i="5"/>
  <c r="K21" i="12"/>
  <c r="L287" i="15"/>
  <c r="K289" i="15"/>
  <c r="H143" i="17" s="1"/>
  <c r="H141" i="17"/>
  <c r="J23" i="12"/>
  <c r="G138" i="17" s="1"/>
  <c r="G136" i="17"/>
  <c r="I21" i="4"/>
  <c r="L13" i="12"/>
  <c r="I126" i="17"/>
  <c r="B218" i="8"/>
  <c r="B284" i="15"/>
  <c r="K18" i="12"/>
  <c r="H131" i="17"/>
  <c r="M16" i="12"/>
  <c r="L71" i="6"/>
  <c r="I105" i="17"/>
  <c r="M181" i="8"/>
  <c r="I117" i="17"/>
  <c r="M197" i="8"/>
  <c r="L156" i="5"/>
  <c r="I86" i="17" s="1"/>
  <c r="K154" i="5"/>
  <c r="M55" i="6"/>
  <c r="M56" i="9"/>
  <c r="L36" i="12"/>
  <c r="L207" i="8"/>
  <c r="L56" i="9"/>
  <c r="M207" i="8"/>
  <c r="I89" i="17"/>
  <c r="K55" i="6"/>
  <c r="J20" i="4"/>
  <c r="J21" i="4" s="1"/>
  <c r="J77" i="4"/>
  <c r="J79" i="4"/>
  <c r="J84" i="4" s="1"/>
  <c r="K84" i="4" s="1"/>
  <c r="E215" i="8"/>
  <c r="E59" i="9"/>
  <c r="I33" i="12"/>
  <c r="E151" i="17"/>
  <c r="I215" i="8"/>
  <c r="I59" i="9"/>
  <c r="J213" i="8"/>
  <c r="J215" i="8" s="1"/>
  <c r="B215" i="8"/>
  <c r="B59" i="9"/>
  <c r="J59" i="9" s="1"/>
  <c r="L198" i="8"/>
  <c r="M201" i="8" s="1"/>
  <c r="L201" i="8"/>
  <c r="I96" i="17"/>
  <c r="M37" i="8"/>
  <c r="F162" i="5"/>
  <c r="F58" i="6"/>
  <c r="L193" i="5"/>
  <c r="M193" i="5" s="1"/>
  <c r="L196" i="5"/>
  <c r="L22" i="12"/>
  <c r="M288" i="15"/>
  <c r="I142" i="17"/>
  <c r="M67" i="9"/>
  <c r="M176" i="5"/>
  <c r="I23" i="4"/>
  <c r="I86" i="4"/>
  <c r="K31" i="12"/>
  <c r="I208" i="8"/>
  <c r="I56" i="10"/>
  <c r="I37" i="12"/>
  <c r="F157" i="17" s="1"/>
  <c r="F90" i="17"/>
  <c r="G55" i="7"/>
  <c r="F85" i="17"/>
  <c r="G155" i="5"/>
  <c r="I78" i="4"/>
  <c r="I81" i="4"/>
  <c r="M71" i="6"/>
  <c r="L18" i="12"/>
  <c r="I133" i="17" s="1"/>
  <c r="I131" i="17"/>
  <c r="E162" i="5"/>
  <c r="E58" i="6"/>
  <c r="G58" i="6" s="1"/>
  <c r="B248" i="15" l="1"/>
  <c r="B165" i="5"/>
  <c r="M154" i="5"/>
  <c r="I84" i="17"/>
  <c r="K21" i="4"/>
  <c r="B167" i="5"/>
  <c r="B60" i="6"/>
  <c r="I118" i="17"/>
  <c r="M198" i="8"/>
  <c r="E153" i="17"/>
  <c r="J78" i="4"/>
  <c r="K78" i="4" s="1"/>
  <c r="J81" i="4"/>
  <c r="H133" i="17"/>
  <c r="M18" i="12"/>
  <c r="L21" i="12"/>
  <c r="M289" i="15"/>
  <c r="M287" i="15"/>
  <c r="L289" i="15"/>
  <c r="I143" i="17" s="1"/>
  <c r="I141" i="17"/>
  <c r="K81" i="4"/>
  <c r="K33" i="12"/>
  <c r="G153" i="17" s="1"/>
  <c r="G151" i="17"/>
  <c r="H155" i="5"/>
  <c r="E85" i="17"/>
  <c r="F155" i="5"/>
  <c r="I128" i="17"/>
  <c r="M13" i="12"/>
  <c r="K23" i="12"/>
  <c r="H138" i="17" s="1"/>
  <c r="H136" i="17"/>
  <c r="J23" i="4"/>
  <c r="K23" i="4" s="1"/>
  <c r="J86" i="4"/>
  <c r="K86" i="4" s="1"/>
  <c r="L31" i="12"/>
  <c r="M31" i="12" s="1"/>
  <c r="B75" i="6"/>
  <c r="B226" i="8" s="1"/>
  <c r="L38" i="12"/>
  <c r="I158" i="17" s="1"/>
  <c r="M36" i="12"/>
  <c r="M38" i="12"/>
  <c r="I156" i="17"/>
  <c r="K79" i="4"/>
  <c r="M196" i="5"/>
  <c r="H55" i="7"/>
  <c r="H208" i="8"/>
  <c r="G37" i="12"/>
  <c r="G56" i="10"/>
  <c r="G208" i="8"/>
  <c r="H56" i="10"/>
  <c r="E90" i="17"/>
  <c r="F55" i="7"/>
  <c r="M22" i="12"/>
  <c r="I137" i="17"/>
  <c r="K207" i="8"/>
  <c r="K209" i="8" s="1"/>
  <c r="H91" i="17" s="1"/>
  <c r="K56" i="9"/>
  <c r="K36" i="12"/>
  <c r="H89" i="17"/>
  <c r="J55" i="6"/>
  <c r="L209" i="8"/>
  <c r="I91" i="17" s="1"/>
  <c r="M209" i="8"/>
  <c r="K156" i="5"/>
  <c r="H86" i="17" s="1"/>
  <c r="H84" i="17"/>
  <c r="J154" i="5"/>
  <c r="B220" i="8"/>
  <c r="B61" i="9"/>
  <c r="K20" i="4"/>
  <c r="K77" i="4"/>
  <c r="B228" i="8" l="1"/>
  <c r="J207" i="8"/>
  <c r="J209" i="8" s="1"/>
  <c r="G91" i="17" s="1"/>
  <c r="J56" i="9"/>
  <c r="J36" i="12"/>
  <c r="G89" i="17"/>
  <c r="I55" i="6"/>
  <c r="H37" i="12"/>
  <c r="E157" i="17"/>
  <c r="F208" i="8"/>
  <c r="F56" i="10"/>
  <c r="F37" i="12"/>
  <c r="D157" i="17" s="1"/>
  <c r="D90" i="17"/>
  <c r="E55" i="7"/>
  <c r="J156" i="5"/>
  <c r="G86" i="17" s="1"/>
  <c r="G84" i="17"/>
  <c r="I154" i="5"/>
  <c r="K38" i="12"/>
  <c r="H158" i="17" s="1"/>
  <c r="H156" i="17"/>
  <c r="L33" i="12"/>
  <c r="H153" i="17" s="1"/>
  <c r="H151" i="17"/>
  <c r="D85" i="17"/>
  <c r="E155" i="5"/>
  <c r="L23" i="12"/>
  <c r="I138" i="17" s="1"/>
  <c r="M21" i="12"/>
  <c r="M23" i="12"/>
  <c r="I136" i="17"/>
  <c r="M33" i="12" l="1"/>
  <c r="I156" i="5"/>
  <c r="F86" i="17" s="1"/>
  <c r="F84" i="17"/>
  <c r="G154" i="5"/>
  <c r="J38" i="12"/>
  <c r="G158" i="17" s="1"/>
  <c r="G156" i="17"/>
  <c r="C85" i="17"/>
  <c r="D155" i="5"/>
  <c r="E208" i="8"/>
  <c r="E56" i="10"/>
  <c r="E37" i="12"/>
  <c r="C157" i="17" s="1"/>
  <c r="C90" i="17"/>
  <c r="D55" i="7"/>
  <c r="I56" i="9"/>
  <c r="I207" i="8"/>
  <c r="I209" i="8" s="1"/>
  <c r="F91" i="17" s="1"/>
  <c r="I36" i="12"/>
  <c r="F89" i="17"/>
  <c r="G55" i="6"/>
  <c r="D208" i="8" l="1"/>
  <c r="D56" i="10"/>
  <c r="D37" i="12"/>
  <c r="B157" i="17" s="1"/>
  <c r="B90" i="17"/>
  <c r="B55" i="7"/>
  <c r="H156" i="5"/>
  <c r="H154" i="5"/>
  <c r="G156" i="5"/>
  <c r="E86" i="17" s="1"/>
  <c r="E84" i="17"/>
  <c r="F154" i="5"/>
  <c r="F156" i="17"/>
  <c r="I38" i="12"/>
  <c r="F158" i="17" s="1"/>
  <c r="B85" i="17"/>
  <c r="B155" i="5"/>
  <c r="H55" i="6"/>
  <c r="G207" i="8"/>
  <c r="H207" i="8"/>
  <c r="G56" i="9"/>
  <c r="H56" i="9"/>
  <c r="G36" i="12"/>
  <c r="E89" i="17"/>
  <c r="F55" i="6"/>
  <c r="H36" i="12" l="1"/>
  <c r="G38" i="12"/>
  <c r="E158" i="17" s="1"/>
  <c r="H38" i="12"/>
  <c r="E156" i="17"/>
  <c r="F156" i="5"/>
  <c r="D86" i="17" s="1"/>
  <c r="D84" i="17"/>
  <c r="E154" i="5"/>
  <c r="H209" i="8"/>
  <c r="G209" i="8"/>
  <c r="E91" i="17" s="1"/>
  <c r="F207" i="8"/>
  <c r="F209" i="8" s="1"/>
  <c r="D91" i="17" s="1"/>
  <c r="F56" i="9"/>
  <c r="F36" i="12"/>
  <c r="D89" i="17"/>
  <c r="E55" i="6"/>
  <c r="C155" i="5"/>
  <c r="A85" i="17"/>
  <c r="C55" i="7"/>
  <c r="B208" i="8"/>
  <c r="C208" i="8"/>
  <c r="B56" i="10"/>
  <c r="C56" i="10"/>
  <c r="B37" i="12"/>
  <c r="A90" i="17"/>
  <c r="F38" i="12" l="1"/>
  <c r="D158" i="17" s="1"/>
  <c r="D156" i="17"/>
  <c r="C37" i="12"/>
  <c r="A157" i="17"/>
  <c r="E156" i="5"/>
  <c r="C86" i="17" s="1"/>
  <c r="C84" i="17"/>
  <c r="D154" i="5"/>
  <c r="E56" i="9"/>
  <c r="E36" i="12"/>
  <c r="E207" i="8"/>
  <c r="E209" i="8" s="1"/>
  <c r="C91" i="17" s="1"/>
  <c r="C89" i="17"/>
  <c r="D55" i="6"/>
  <c r="D36" i="12" l="1"/>
  <c r="D207" i="8"/>
  <c r="D209" i="8" s="1"/>
  <c r="B91" i="17" s="1"/>
  <c r="D56" i="9"/>
  <c r="B89" i="17"/>
  <c r="B55" i="6"/>
  <c r="D156" i="5"/>
  <c r="B86" i="17" s="1"/>
  <c r="B84" i="17"/>
  <c r="B154" i="5"/>
  <c r="E38" i="12"/>
  <c r="C158" i="17" s="1"/>
  <c r="C156" i="17"/>
  <c r="C154" i="5" l="1"/>
  <c r="B156" i="5"/>
  <c r="A86" i="17" s="1"/>
  <c r="C156" i="5"/>
  <c r="A84" i="17"/>
  <c r="C55" i="6"/>
  <c r="B207" i="8"/>
  <c r="C207" i="8"/>
  <c r="B56" i="9"/>
  <c r="C56" i="9"/>
  <c r="B36" i="12"/>
  <c r="A89" i="17"/>
  <c r="D38" i="12"/>
  <c r="B158" i="17" s="1"/>
  <c r="B156" i="17"/>
  <c r="B38" i="12" l="1"/>
  <c r="A158" i="17" s="1"/>
  <c r="C38" i="12"/>
  <c r="C36" i="12"/>
  <c r="A156" i="17"/>
  <c r="B209" i="8"/>
  <c r="A91" i="17" s="1"/>
  <c r="C209" i="8"/>
</calcChain>
</file>

<file path=xl/comments1.xml><?xml version="1.0" encoding="utf-8"?>
<comments xmlns="http://schemas.openxmlformats.org/spreadsheetml/2006/main">
  <authors>
    <author>LOCAL SERVICE</author>
  </authors>
  <commentList>
    <comment ref="A7" authorId="0" shapeId="0">
      <text>
        <r>
          <rPr>
            <b/>
            <sz val="8"/>
            <rFont val="Arial"/>
            <family val="2"/>
          </rPr>
          <t>Name of the company
(variable Company_Name)</t>
        </r>
      </text>
    </comment>
    <comment ref="A9" authorId="0" shapeId="0">
      <text>
        <r>
          <rPr>
            <b/>
            <sz val="8"/>
            <rFont val="Arial"/>
            <family val="2"/>
          </rPr>
          <t>Name of the investment project
(variable Project_Name)</t>
        </r>
      </text>
    </comment>
    <comment ref="E16" authorId="0" shapeId="0">
      <text>
        <r>
          <rPr>
            <b/>
            <sz val="8"/>
            <rFont val="Arial"/>
            <family val="2"/>
          </rPr>
          <t>(variable Invest_Name)</t>
        </r>
      </text>
    </comment>
    <comment ref="F16" authorId="0" shapeId="0">
      <text>
        <r>
          <rPr>
            <b/>
            <sz val="8"/>
            <rFont val="Arial"/>
            <family val="2"/>
          </rPr>
          <t>Date on which each fixed investment is made
(variable Invest_Date)</t>
        </r>
      </text>
    </comment>
    <comment ref="G16" authorId="0" shapeId="0">
      <text>
        <r>
          <rPr>
            <b/>
            <sz val="8"/>
            <rFont val="Arial"/>
            <family val="2"/>
          </rPr>
          <t>Depreciation method is one of "Linear" "SYD" and
"DDB".
(variable Deprec_Method)</t>
        </r>
      </text>
    </comment>
    <comment ref="H16" authorId="0" shapeId="0">
      <text>
        <r>
          <rPr>
            <b/>
            <sz val="8"/>
            <rFont val="Arial"/>
            <family val="2"/>
          </rPr>
          <t>Depreciation method used for computing taxes. It
is one of "Linear" "SYD" and "DDB".
(variable Deprec_Method_Tax)</t>
        </r>
      </text>
    </comment>
    <comment ref="I16" authorId="0" shapeId="0">
      <text>
        <r>
          <rPr>
            <b/>
            <sz val="8"/>
            <rFont val="Arial"/>
            <family val="2"/>
          </rPr>
          <t>Depreciation life of each investment, expressed in
years. Values should be multiples of the time
grain. At the end of depreciation life,
depreciation stops. The asset remains available
for use until the end of physical life, at which
time the salvage value of the asset is realized.
(variable Invest_Life_Depr_Yr)</t>
        </r>
      </text>
    </comment>
    <comment ref="J16" authorId="0" shapeId="0">
      <text>
        <r>
          <rPr>
            <b/>
            <sz val="8"/>
            <rFont val="Arial"/>
            <family val="2"/>
          </rPr>
          <t>Physical life of the depreciable asset, expressed
in years. Values should be multiples of the time
grain. At the end of physical life, salvage value
of assets is realized, and he asset is no longer
available.
(variable Invest_Life_Phys_Yr)</t>
        </r>
      </text>
    </comment>
    <comment ref="K16" authorId="0" shapeId="0">
      <text>
        <r>
          <rPr>
            <b/>
            <sz val="8"/>
            <rFont val="Arial"/>
            <family val="2"/>
          </rPr>
          <t>Percentage of depreciable investment that
determines investment tax credit, segmented by
subproject
(variable Invest_Tax_Credit_pct)</t>
        </r>
      </text>
    </comment>
    <comment ref="L16" authorId="0" shapeId="0">
      <text>
        <r>
          <rPr>
            <b/>
            <sz val="8"/>
            <rFont val="Arial"/>
            <family val="2"/>
          </rPr>
          <t>Date on which the investment tax credit is paid to
the project
(variable Invest_Tax_Credit_Date)</t>
        </r>
      </text>
    </comment>
    <comment ref="E23" authorId="0" shapeId="0">
      <text>
        <r>
          <rPr>
            <b/>
            <sz val="8"/>
            <rFont val="Arial"/>
            <family val="2"/>
          </rPr>
          <t>Fixed depreciable and non-depreciable investment,
segmented by subproject, before subtracting
investment tax credit. The model assumes you must
finance only net investment.
(variable Invest_Fixed_Gross)</t>
        </r>
      </text>
    </comment>
    <comment ref="F23" authorId="0" shapeId="0">
      <text>
        <r>
          <rPr>
            <b/>
            <sz val="8"/>
            <rFont val="Arial"/>
            <family val="2"/>
          </rPr>
          <t>The residual value of depreciable investment at
the end of the project, segmented by subproject. 
The residual value of non-depreciable investments
defaults to the initial value, and you can
override this default to reflect changes in market
value of land.
(variable Invest_Fixed_Resid_Value)</t>
        </r>
      </text>
    </comment>
    <comment ref="A37" authorId="0" shapeId="0">
      <text>
        <r>
          <rPr>
            <b/>
            <sz val="8"/>
            <rFont val="Arial"/>
            <family val="2"/>
          </rPr>
          <t>The initial working capital invested at the start
of each subproject, segmented by working capital
account and by subproject
(variable Working_Cap_Initial)</t>
        </r>
      </text>
    </comment>
    <comment ref="A40" authorId="0" shapeId="0">
      <text>
        <r>
          <rPr>
            <b/>
            <sz val="8"/>
            <rFont val="Arial"/>
            <family val="2"/>
          </rPr>
          <t>Working capital requirements as a percentage of
revenue, segmented by working capital account and
by subproject. 
Working capital is specified directly in the
first time period for each subproject. In later
time periods, working capital is set as a percent
of revenue.
(variable Working_Cap_pct_Rev)</t>
        </r>
      </text>
    </comment>
    <comment ref="A43" authorId="0" shapeId="0">
      <text>
        <r>
          <rPr>
            <b/>
            <sz val="8"/>
            <rFont val="Arial"/>
            <family val="2"/>
          </rPr>
          <t>Working capital salvage value as a percentage of
the working capital at the termination of the
project, segmented by working capital account and
by subproject
(variable Working_Cap_Residual_pct)</t>
        </r>
      </text>
    </comment>
    <comment ref="A51" authorId="0" shapeId="0">
      <text>
        <r>
          <rPr>
            <b/>
            <sz val="8"/>
            <rFont val="Arial"/>
            <family val="2"/>
          </rPr>
          <t>Sales Units in the first time period, segmented by
subproject and product
(variable Sales_Units_Initial)</t>
        </r>
      </text>
    </comment>
    <comment ref="A54" authorId="0" shapeId="0">
      <text>
        <r>
          <rPr>
            <b/>
            <sz val="8"/>
            <rFont val="Arial"/>
            <family val="2"/>
          </rPr>
          <t>Annualized growth rate of sales units in each time
period, segmented by subproject and product.
(variable Sales_Units_Growth_pct_Yr)</t>
        </r>
      </text>
    </comment>
    <comment ref="A57" authorId="0" shapeId="0">
      <text>
        <r>
          <rPr>
            <b/>
            <sz val="8"/>
            <rFont val="Arial"/>
            <family val="2"/>
          </rPr>
          <t>Average selling price of each unit sold, segmented
by by subproject, product, and time period
(variable Price_Average)</t>
        </r>
      </text>
    </comment>
    <comment ref="A63" authorId="0" shapeId="0">
      <text>
        <r>
          <rPr>
            <b/>
            <sz val="8"/>
            <rFont val="Arial"/>
            <family val="2"/>
          </rPr>
          <t>Number of units sold per time period, segmented by
subproject, product and time period. Sales for
each subproject begin in the time period after
investment and continue until the latest end of
useful life of any fixed investment.
(variable Sales_Units)</t>
        </r>
      </text>
    </comment>
    <comment ref="A67" authorId="0" shapeId="0">
      <text>
        <r>
          <rPr>
            <b/>
            <sz val="8"/>
            <rFont val="Arial"/>
            <family val="2"/>
          </rPr>
          <t>Revenue, segmented by subproject, product and time
period.
The variable computes values from a formula that
uses previous revenue and 'Revenue Growth rate'.
You can override the default values by entering
your own values.</t>
        </r>
      </text>
    </comment>
    <comment ref="A76" authorId="0" shapeId="0">
      <text>
        <r>
          <rPr>
            <b/>
            <sz val="8"/>
            <rFont val="Arial"/>
            <family val="2"/>
          </rPr>
          <t>Variable operating expense as a percent of
revenue, segmented by subproject, variable expense
account, and time period
(variable Expense_Oper_Variable_pct_Rev)</t>
        </r>
      </text>
    </comment>
    <comment ref="A82" authorId="0" shapeId="0">
      <text>
        <r>
          <rPr>
            <b/>
            <sz val="8"/>
            <rFont val="Arial"/>
            <family val="2"/>
          </rPr>
          <t>Fixed operating expense in the first time period,
segmented by subproject and product. 'Fixed' means
the expense does not vary with revenue or sales
units; it can vary with time.
(variable Expense_Oper_Fixed_Initial)</t>
        </r>
      </text>
    </comment>
    <comment ref="A86" authorId="0" shapeId="0">
      <text>
        <r>
          <rPr>
            <b/>
            <sz val="8"/>
            <rFont val="Arial"/>
            <family val="2"/>
          </rPr>
          <t>Rate of growth of fixed operating expenses in each
time period, annualized. Segmented by subproject,
product, and time period. 'Fixed' means the
expense does not vary with revenue or sales units;
it can vary with time.
(variable Expense_Oper_Fixed_Growth_pct_Yr_In)</t>
        </r>
      </text>
    </comment>
    <comment ref="A95" authorId="0" shapeId="0">
      <text>
        <r>
          <rPr>
            <b/>
            <sz val="8"/>
            <rFont val="Arial"/>
            <family val="2"/>
          </rPr>
          <t>Variable operating expense, segmented by
subproject, variable expense account, and time
period.
The variable computes values from a formula that
uses revenue and 'Variable Operating Expense as a
percent of revenue'. You can override the default
values by entering your own values.
(variable Expense_Oper_Variable)</t>
        </r>
      </text>
    </comment>
    <comment ref="A101" authorId="0" shapeId="0">
      <text>
        <r>
          <rPr>
            <b/>
            <sz val="8"/>
            <rFont val="Arial"/>
            <family val="2"/>
          </rPr>
          <t>Fixed operating expenses, segmented by subproject
and by time period. Fixed expense begins when the
investment is made. 'Fixed' means the expense does
not vary with revenue or sales units; it can vary
with time.
The variable computes values from a formula that
uses previous fixed expense and 'Fixed Operating
Expense Growth rate'. You can override the default
values by entering your own values.
(variable Expense_Oper_Fixed)</t>
        </r>
      </text>
    </comment>
    <comment ref="A108" authorId="0" shapeId="0">
      <text>
        <r>
          <rPr>
            <b/>
            <sz val="8"/>
            <rFont val="Arial"/>
            <family val="2"/>
          </rPr>
          <t>Income tax rate on taxable income. If taxable
income is negative, tax is zero.
(variable Income_Tax_Rate)</t>
        </r>
      </text>
    </comment>
    <comment ref="A116" authorId="0" shapeId="0">
      <text>
        <r>
          <rPr>
            <b/>
            <sz val="8"/>
            <rFont val="Arial"/>
            <family val="2"/>
          </rPr>
          <t>Discount method is one of "Direct" (you directly
specify the rate) and "CAPM" (capital asset
pricing model)
(variable Discount_Method)</t>
        </r>
      </text>
    </comment>
    <comment ref="A121" authorId="0" shapeId="0">
      <text>
        <r>
          <rPr>
            <b/>
            <sz val="8"/>
            <rFont val="Arial"/>
            <family val="2"/>
          </rPr>
          <t>The discount rate to use when the discount method
is "Direct". 
The discount rate for the first time period and
the first subproject is, by default, copied to the
later time periods and other subprojects. You can
override the default by entering a discount rate
for any time period and subproject.
(variable Discount_Rate0_Yr)</t>
        </r>
      </text>
    </comment>
    <comment ref="A126" authorId="0" shapeId="0">
      <text>
        <r>
          <rPr>
            <b/>
            <sz val="8"/>
            <rFont val="Arial"/>
            <family val="2"/>
          </rPr>
          <t>The beta parameter of the capital asset pricing
model: the correlation between return on this
investment and return on a broad market index
fund. Settable for each subproject separately.</t>
        </r>
      </text>
    </comment>
    <comment ref="A130" authorId="0" shapeId="0">
      <text>
        <r>
          <rPr>
            <b/>
            <sz val="8"/>
            <rFont val="Arial"/>
            <family val="2"/>
          </rPr>
          <t>Annual rate of return on "riskless" investments in
the capital asset pricing model. Usually
approximated as the rate of return on treasury
bills.
(variable Riskless_Rate_Yr)</t>
        </r>
      </text>
    </comment>
    <comment ref="A132" authorId="0" shapeId="0">
      <text>
        <r>
          <rPr>
            <b/>
            <sz val="8"/>
            <rFont val="Arial"/>
            <family val="2"/>
          </rPr>
          <t>Annualized risk premium in the capital asset
pricing model, by time period
(variable Risk_Premium_Yr)</t>
        </r>
      </text>
    </comment>
    <comment ref="A139" authorId="0" shapeId="0">
      <text>
        <r>
          <rPr>
            <b/>
            <sz val="8"/>
            <rFont val="Arial"/>
            <family val="2"/>
          </rPr>
          <t>Indicates which financing scenario is being used
in the model currently. To change to a different
scenario, enter a whole number thta represents the
scenario you want to use in the model.
(variable Financing_Scenario)</t>
        </r>
      </text>
    </comment>
    <comment ref="A144" authorId="0" shapeId="0">
      <text>
        <r>
          <rPr>
            <b/>
            <sz val="8"/>
            <rFont val="Arial"/>
            <family val="2"/>
          </rPr>
          <t>Weights for types of financing used to finance the
project. Segmented by financing types,
subprojects, and time period. This variable is
used in models that have financing scenarios.
If you enter weights for Debt and Lease, the
template will default to a weight for Equity that
makes the weights add to 100% for each subproject.
(variable Fin_Type_Wgts_Sc)</t>
        </r>
      </text>
    </comment>
    <comment ref="A161" authorId="0" shapeId="0">
      <text>
        <r>
          <rPr>
            <b/>
            <sz val="8"/>
            <rFont val="Arial"/>
            <family val="2"/>
          </rPr>
          <t>Annual interest rate at which debt financing can
be obtained for each sub project, by time period.
The borrowing rate for the first time period and
the first subproject is, by default, copied to
later time periods and other subprojects. You can
override the default by entering a discount rate
for any time period and subproject.
(variable Borrowing_Rate_Yr)</t>
        </r>
      </text>
    </comment>
    <comment ref="A167" authorId="0" shapeId="0">
      <text>
        <r>
          <rPr>
            <b/>
            <sz val="8"/>
            <rFont val="Arial"/>
            <family val="2"/>
          </rPr>
          <t>Balloon payment due at end of term for 100% debt
financing. It is reduced by the percentage of debt
financing for each asset. This payment is treated
as an additional interest payment. Segmented by
investments in each Subproject. 
(variable Debt_Balloon_Pay)</t>
        </r>
      </text>
    </comment>
    <comment ref="A176" authorId="0" shapeId="0">
      <text>
        <r>
          <rPr>
            <b/>
            <sz val="8"/>
            <rFont val="Arial"/>
            <family val="2"/>
          </rPr>
          <t>Effective annual interest rate at which lease
financing can be obtained for each subproject, by
time period. This rate is used to estimate lease
payments based on the value of assets leased. The
lease rate is assumed to be based on asset value
net of investment tax credit.
Specifying lease payments in this way enables you
to alter the value of leased assets and the lease
payment adjusts in a reasonable way. It also
enables you to compare effective financing rates
for debt and leases.
The lease rate for the first time period and the
first subproject is, by default, copied to later
time periods and other subprojects. You can
override the default by entering a discount rate
for any time period and subproject.
(variable Lease_Rate_Yr)</t>
        </r>
      </text>
    </comment>
    <comment ref="A182" authorId="0" shapeId="0">
      <text>
        <r>
          <rPr>
            <b/>
            <sz val="8"/>
            <rFont val="Arial"/>
            <family val="2"/>
          </rPr>
          <t>Balloon payment due at end of term for lease
financing. It is reduced by the percentage of
lease financing for each asset. Segmented by
investments in each Subproject. 
(variable Lease_Balloon_Pay)</t>
        </r>
      </text>
    </comment>
    <comment ref="A188" authorId="0" shapeId="0">
      <text>
        <r>
          <rPr>
            <b/>
            <sz val="8"/>
            <rFont val="Arial"/>
            <family val="2"/>
          </rPr>
          <t>Initial guess for annualized internal rate of
return on investment using weighted blend of
financing types.
The algorithm for computing IRR needs a starting
guess.
(variable IRR_Guess_Yr)</t>
        </r>
      </text>
    </comment>
    <comment ref="A191" authorId="0" shapeId="0">
      <text>
        <r>
          <rPr>
            <b/>
            <sz val="8"/>
            <rFont val="Arial"/>
            <family val="2"/>
          </rPr>
          <t>Initial guess for annualized internal rate of
return on investment, in the case of all-equity
financing. 
The algorithm for computing IRR needs a starting
guess.
(variable IRR_Guess_Yr_EquityFin)</t>
        </r>
      </text>
    </comment>
    <comment ref="A199" authorId="0" shapeId="0">
      <text>
        <r>
          <rPr>
            <b/>
            <sz val="8"/>
            <rFont val="Arial"/>
            <family val="2"/>
          </rPr>
          <t>Annualized discount rate applied to cash flows
that are projected after the end of model time
(variable Tail_Discount_Rate_Yr)</t>
        </r>
      </text>
    </comment>
    <comment ref="A200" authorId="0" shapeId="0">
      <text>
        <r>
          <rPr>
            <b/>
            <sz val="8"/>
            <rFont val="Arial"/>
            <family val="2"/>
          </rPr>
          <t>duration of the early phase of the time after
model time, expressed in years.
Time after model time is segmented into an early
phase and a late phase, to enable you to specify a
higher growth rate for the early segment and lower
growth for the late segment.
(variable Tail_Time_Early_Yr)</t>
        </r>
      </text>
    </comment>
    <comment ref="A202" authorId="0" shapeId="0">
      <text>
        <r>
          <rPr>
            <b/>
            <sz val="8"/>
            <rFont val="Arial"/>
            <family val="2"/>
          </rPr>
          <t>Annualized rate at which cash flow grows in the
early phase after the end of model time
Time after model time is segmented into an early
phase and a late phase, to enable you to specify a
higher growth rate for the early segment and lower
growth for the late segment.
(variable Tail_Growth_Rate_Early_Yr)</t>
        </r>
      </text>
    </comment>
    <comment ref="A204" authorId="0" shapeId="0">
      <text>
        <r>
          <rPr>
            <b/>
            <sz val="8"/>
            <rFont val="Arial"/>
            <family val="2"/>
          </rPr>
          <t>Annualized rate at which cash flow grows in the
late phase of time after the end of model time.
This growth rate should be LESS THAN the discount
rate in the tail time.
Time after model time is segmented into an early
phase and a late phase, to enable you to specify a
higher growth rate for the early segment and lower
growth for the late segment.
(variable Tail_Growth_Rate_Late_Yr)</t>
        </r>
      </text>
    </comment>
  </commentList>
</comments>
</file>

<file path=xl/comments10.xml><?xml version="1.0" encoding="utf-8"?>
<comments xmlns="http://schemas.openxmlformats.org/spreadsheetml/2006/main">
  <authors>
    <author>LOCAL SERVICE</author>
  </authors>
  <commentList>
    <comment ref="B4" authorId="0" shapeId="0">
      <text>
        <r>
          <rPr>
            <b/>
            <sz val="8"/>
            <rFont val="Arial"/>
            <family val="2"/>
          </rPr>
          <t>The beta parameter of the capital asset pricing
model: the correlation between return on this
investment and return on a broad market index
fund. Settable for each subproject separately.</t>
        </r>
      </text>
    </comment>
    <comment ref="B6" authorId="0" shapeId="0">
      <text>
        <r>
          <rPr>
            <b/>
            <sz val="8"/>
            <rFont val="Arial"/>
            <family val="2"/>
          </rPr>
          <t>Book value of the investment project at the end of
each time period, equal to the book value of fixed
assets plus working capital
(variable Book_Value_End)</t>
        </r>
      </text>
    </comment>
    <comment ref="B8" authorId="0" shapeId="0">
      <text>
        <r>
          <rPr>
            <b/>
            <sz val="8"/>
            <rFont val="Arial"/>
            <family val="2"/>
          </rPr>
          <t>Book value of the investment project at the end of
each time period. The model does not include cash
withdrawals from the business, so book value can
be positive after operations have ceased.
Used only for plot support.
(variable Book_Value_End_plt)</t>
        </r>
      </text>
    </comment>
    <comment ref="B10" authorId="0" shapeId="0">
      <text>
        <r>
          <rPr>
            <b/>
            <sz val="8"/>
            <rFont val="Arial"/>
            <family val="2"/>
          </rPr>
          <t>Book value of the fixed investment at the end of
each time period, for each investment in each
subproject
(variable Book_Value_Fixed_End)</t>
        </r>
      </text>
    </comment>
    <comment ref="B12" authorId="0" shapeId="0">
      <text>
        <r>
          <rPr>
            <b/>
            <sz val="8"/>
            <rFont val="Arial"/>
            <family val="2"/>
          </rPr>
          <t>Book value of the fixed investment at the start of
each time period
(variable Book_Value_Fixed_Start)</t>
        </r>
      </text>
    </comment>
    <comment ref="B14" authorId="0" shapeId="0">
      <text>
        <r>
          <rPr>
            <b/>
            <sz val="8"/>
            <rFont val="Arial"/>
            <family val="2"/>
          </rPr>
          <t>Interest rate per time period at which debt
financing can be obtained for each subproject.
(variable Borrowing_Rate)</t>
        </r>
      </text>
    </comment>
    <comment ref="B16" authorId="0" shapeId="0">
      <text>
        <r>
          <rPr>
            <b/>
            <sz val="8"/>
            <rFont val="Arial"/>
            <family val="2"/>
          </rPr>
          <t>Annual interest rate at which debt financing can
be obtained for each sub project, by time period.
The borrowing rate for the first time period and
the first subproject is, by default, copied to
later time periods and other subprojects. You can
override the default by entering a discount rate
for any time period and subproject.
(variable Borrowing_Rate_Yr)</t>
        </r>
      </text>
    </comment>
    <comment ref="B18" authorId="0" shapeId="0">
      <text>
        <r>
          <rPr>
            <b/>
            <sz val="8"/>
            <rFont val="Arial"/>
            <family val="2"/>
          </rPr>
          <t>Average capital employed in each time period is
the average of initial and final book value for
the period. Capital consists of fixed assets and
working capital.
(variable Capital_Average)</t>
        </r>
      </text>
    </comment>
    <comment ref="B20" authorId="0" shapeId="0">
      <text>
        <r>
          <rPr>
            <b/>
            <sz val="8"/>
            <rFont val="Arial"/>
            <family val="2"/>
          </rPr>
          <t>Cash flow of the project and subprojects, using
blended financing if applicable.
This is the cash flow to equity holders. The
principal components of the cash flow are +
revenue - operating expense - gross fixed
investments - working capital investments +
borrowings - loan payments - lease payments -
taxes.
(variable Cash_Flow_BlendedFin)</t>
        </r>
      </text>
    </comment>
    <comment ref="B29" authorId="0" shapeId="0">
      <text>
        <r>
          <rPr>
            <b/>
            <sz val="8"/>
            <rFont val="Arial"/>
            <family val="2"/>
          </rPr>
          <t>Cash flow in the case of 100% equity financing,
during model time. Excludes tail at later times. 
(variable Cash_Flow_EquityFin)</t>
        </r>
      </text>
    </comment>
    <comment ref="B35" authorId="0" shapeId="0">
      <text>
        <r>
          <rPr>
            <b/>
            <sz val="8"/>
            <rFont val="Arial"/>
            <family val="2"/>
          </rPr>
          <t>Cash flow from fixed investment including purchase
and salvage, but not depreciation or tax credits.
Includes depreciable and non-depreciable
investment. Assumes equity financing. Segmented by
subproject, investment, and time period.
(variable Cash_Flow_Fixed_Invest)</t>
        </r>
      </text>
    </comment>
    <comment ref="B37" authorId="0" shapeId="0">
      <text>
        <r>
          <rPr>
            <b/>
            <sz val="8"/>
            <rFont val="Arial"/>
            <family val="2"/>
          </rPr>
          <t>Cash flow from fixed investment including
depreciable investment, non-depreciable
investment, and residual values. Excludes tax
credits and working capital cash flows. Assumes
equity (and/or debt) financing. Segmented by
subproject.
(variable Cash_Flow_FixInv_EquityFin)</t>
        </r>
      </text>
    </comment>
    <comment ref="B39" authorId="0" shapeId="0">
      <text>
        <r>
          <rPr>
            <b/>
            <sz val="8"/>
            <rFont val="Arial"/>
            <family val="2"/>
          </rPr>
          <t>Investment tax credit for investment in each
subproject, for equity and debt financing
(excluding leased assets)
(variable Cash_Flow_Inv_Tax_Credit_EqFin)</t>
        </r>
      </text>
    </comment>
    <comment ref="B41" authorId="0" shapeId="0">
      <text>
        <r>
          <rPr>
            <b/>
            <sz val="8"/>
            <rFont val="Arial"/>
            <family val="2"/>
          </rPr>
          <t>Investment tax credit for investment in each
subproject, regardless of whether the company
being analyzed gets the credit. For example, if
the company being analyzed leases equipment, it
does not get the investment tax credit. 
(variable Cash_Flow_Invest_Tax_Credit)</t>
        </r>
      </text>
    </comment>
    <comment ref="B43" authorId="0" shapeId="0">
      <text>
        <r>
          <rPr>
            <b/>
            <sz val="8"/>
            <rFont val="Arial"/>
            <family val="2"/>
          </rPr>
          <t>Cash flow of the project and subprojects, using
blended financing if applicable. 
Used only for plot support.
(variable Cash_Flow_plt)</t>
        </r>
      </text>
    </comment>
    <comment ref="B45"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B47" authorId="0" shapeId="0">
      <text>
        <r>
          <rPr>
            <b/>
            <sz val="8"/>
            <rFont val="Arial"/>
            <family val="2"/>
          </rPr>
          <t>Name of the company
(variable Company_Name)</t>
        </r>
      </text>
    </comment>
    <comment ref="B49" authorId="0" shapeId="0">
      <text>
        <r>
          <rPr>
            <b/>
            <sz val="8"/>
            <rFont val="Arial"/>
            <family val="2"/>
          </rPr>
          <t>Contains start dates for time periods that can
extend outside of model time
(variable Date_End)</t>
        </r>
      </text>
    </comment>
    <comment ref="B51" authorId="0" shapeId="0">
      <text>
        <r>
          <rPr>
            <b/>
            <sz val="8"/>
            <rFont val="Arial"/>
            <family val="2"/>
          </rPr>
          <t>Contains start dates for time periods that can
extend outside of model time
(variable Date_Start)</t>
        </r>
      </text>
    </comment>
    <comment ref="B53" authorId="0" shapeId="0">
      <text>
        <r>
          <rPr>
            <b/>
            <sz val="8"/>
            <rFont val="Arial"/>
            <family val="2"/>
          </rPr>
          <t>Discounted cash flow of the project and
subprojects, using blended financing
(variable DCF_BlendedFin)</t>
        </r>
      </text>
    </comment>
    <comment ref="B55" authorId="0" shapeId="0">
      <text>
        <r>
          <rPr>
            <b/>
            <sz val="8"/>
            <rFont val="Arial"/>
            <family val="2"/>
          </rPr>
          <t>Cumulative discounted cash flow of the project and
subprojects, using blended financing if applicable
(variable DCF_Cum)</t>
        </r>
      </text>
    </comment>
    <comment ref="B57" authorId="0" shapeId="0">
      <text>
        <r>
          <rPr>
            <b/>
            <sz val="8"/>
            <rFont val="Arial"/>
            <family val="2"/>
          </rPr>
          <t>Cumulative discounted cash flow of the project and
subprojects, using blended financing if
applicable.
Used only for plot support.
(variable DCF_Cum_plt)</t>
        </r>
      </text>
    </comment>
    <comment ref="B59" authorId="0" shapeId="0">
      <text>
        <r>
          <rPr>
            <b/>
            <sz val="8"/>
            <rFont val="Arial"/>
            <family val="2"/>
          </rPr>
          <t>Discounted cash flow in case of 100% equity
financing, during model time. Excludes tail at
later times.
(variable DCF_EquityFin)</t>
        </r>
      </text>
    </comment>
    <comment ref="B61" authorId="0" shapeId="0">
      <text>
        <r>
          <rPr>
            <b/>
            <sz val="8"/>
            <rFont val="Arial"/>
            <family val="2"/>
          </rPr>
          <t>Discounted cash flow of the project and
subprojects, using blended financing if
applicable.
Used only for plot support.
(variable DCF_plt)</t>
        </r>
      </text>
    </comment>
    <comment ref="B63" authorId="0" shapeId="0">
      <text>
        <r>
          <rPr>
            <b/>
            <sz val="8"/>
            <rFont val="Arial"/>
            <family val="2"/>
          </rPr>
          <t>Balloon payment due at end of term for 100% debt
financing. It is reduced by the percentage of debt
financing for each asset. This payment is treated
as an additional interest payment. Segmented by
investments in each Subproject. 
(variable Debt_Balloon_Pay)</t>
        </r>
      </text>
    </comment>
    <comment ref="B65" authorId="0" shapeId="0">
      <text>
        <r>
          <rPr>
            <b/>
            <sz val="8"/>
            <rFont val="Arial"/>
            <family val="2"/>
          </rPr>
          <t>Interest payments for debt financing. Segmented by
investment and time period. Excludes payments
after the end of model time. A balloon payment at
the end of debt term is treated as an additional
interest payment.
(variable Debt_Interest_Pay)</t>
        </r>
      </text>
    </comment>
    <comment ref="B67" authorId="0" shapeId="0">
      <text>
        <r>
          <rPr>
            <b/>
            <sz val="8"/>
            <rFont val="Arial"/>
            <family val="2"/>
          </rPr>
          <t>Outstanding debt principal, at the end of each
time period
(variable Debt_Principal)</t>
        </r>
      </text>
    </comment>
    <comment ref="B69" authorId="0" shapeId="0">
      <text>
        <r>
          <rPr>
            <b/>
            <sz val="8"/>
            <rFont val="Arial"/>
            <family val="2"/>
          </rPr>
          <t>Change in debt principal. Includes borrowing (+)
and principal repayments (-). Segmented by
investment and time period. Excludes payments
after the end of model time.
(variable Debt_Principal_Chg)</t>
        </r>
      </text>
    </comment>
    <comment ref="B71" authorId="0" shapeId="0">
      <text>
        <r>
          <rPr>
            <b/>
            <sz val="8"/>
            <rFont val="Arial"/>
            <family val="2"/>
          </rPr>
          <t>Depreciation of depreciable investment (excluding
salvage value), using specified depreciation
method, segmented by subproject and by time
period. Assets that are leased have no
depreciation expense in the model.
(variable Deprec_Expense)</t>
        </r>
      </text>
    </comment>
    <comment ref="B73" authorId="0" shapeId="0">
      <text>
        <r>
          <rPr>
            <b/>
            <sz val="8"/>
            <rFont val="Arial"/>
            <family val="2"/>
          </rPr>
          <t>Depreciation of depreciable investment (excluding
salvage value), using specified depreciation
method, segmented by subproject and by time period
(variable Deprec_Expense_EquityFin)</t>
        </r>
      </text>
    </comment>
    <comment ref="B75" authorId="0" shapeId="0">
      <text>
        <r>
          <rPr>
            <b/>
            <sz val="8"/>
            <rFont val="Arial"/>
            <family val="2"/>
          </rPr>
          <t>Depreciation of depreciable investment (excluding
residual value), using specified depreciation
method for tax purposes, segmented by subproject
and by time period
(variable Deprec_Expense_Tax)</t>
        </r>
      </text>
    </comment>
    <comment ref="B77" authorId="0" shapeId="0">
      <text>
        <r>
          <rPr>
            <b/>
            <sz val="8"/>
            <rFont val="Arial"/>
            <family val="2"/>
          </rPr>
          <t>Depreciation method is one of "Linear" "SYD" and
"DDB".
(variable Deprec_Method)</t>
        </r>
      </text>
    </comment>
    <comment ref="B79" authorId="0" shapeId="0">
      <text>
        <r>
          <rPr>
            <b/>
            <sz val="8"/>
            <rFont val="Arial"/>
            <family val="2"/>
          </rPr>
          <t>Depreciation method used for computing taxes. It
is one of "Linear" "SYD" and "DDB".
(variable Deprec_Method_Tax)</t>
        </r>
      </text>
    </comment>
    <comment ref="B81" authorId="0" shapeId="0">
      <text>
        <r>
          <rPr>
            <b/>
            <sz val="8"/>
            <rFont val="Arial"/>
            <family val="2"/>
          </rPr>
          <t>The discount factor to convert a cash flow at the
end of a time period to a present value at the
start of model time
(variable Discount_Factor)</t>
        </r>
      </text>
    </comment>
    <comment ref="B83" authorId="0" shapeId="0">
      <text>
        <r>
          <rPr>
            <b/>
            <sz val="8"/>
            <rFont val="Arial"/>
            <family val="2"/>
          </rPr>
          <t>Discount method is one of "Direct" (you directly
specify the rate) and "CAPM" (capital asset
pricing model)
(variable Discount_Method)</t>
        </r>
      </text>
    </comment>
    <comment ref="B85" authorId="0" shapeId="0">
      <text>
        <r>
          <rPr>
            <b/>
            <sz val="8"/>
            <rFont val="Arial"/>
            <family val="2"/>
          </rPr>
          <t>Discount rate for computing present values of cash
flows, by time period. If discount method is
"Direct" then use specified numerical input; if
discount method is "CAPM" then use the capital
asset procing model formula for the discount rate
in terms of riskless return, beta, risk premium
and debt ratio.
(variable Discount_Rate)</t>
        </r>
      </text>
    </comment>
    <comment ref="B87" authorId="0" shapeId="0">
      <text>
        <r>
          <rPr>
            <b/>
            <sz val="8"/>
            <rFont val="Arial"/>
            <family val="2"/>
          </rPr>
          <t>Annualized discount rate for computing present
values of cash flows. If discount method is
"Direct" then use specified numerical input; if
discount method is "CAPM" then use the CAPM
formula for the discount rate in terms of riskless
return, beta, risk premium and debt ratio.
(variable Discount_Rate_Yr)</t>
        </r>
      </text>
    </comment>
    <comment ref="B89" authorId="0" shapeId="0">
      <text>
        <r>
          <rPr>
            <b/>
            <sz val="8"/>
            <rFont val="Arial"/>
            <family val="2"/>
          </rPr>
          <t>When discount method is "Direct", use this
discount rate in discounted cash flows.
(variable Discount_Rate0)</t>
        </r>
      </text>
    </comment>
    <comment ref="B91" authorId="0" shapeId="0">
      <text>
        <r>
          <rPr>
            <b/>
            <sz val="8"/>
            <rFont val="Arial"/>
            <family val="2"/>
          </rPr>
          <t>The discount rate to use when the discount method
is "Direct". 
The discount rate for the first time period and
the first subproject is, by default, copied to the
later time periods and other subprojects. You can
override the default by entering a discount rate
for any time period and subproject.
(variable Discount_Rate0_Yr)</t>
        </r>
      </text>
    </comment>
    <comment ref="B93" authorId="0" shapeId="0">
      <text>
        <r>
          <rPr>
            <b/>
            <sz val="8"/>
            <rFont val="Arial"/>
            <family val="2"/>
          </rPr>
          <t>Earnings before interest and taxes during model
time</t>
        </r>
      </text>
    </comment>
    <comment ref="B95" authorId="0" shapeId="0">
      <text>
        <r>
          <rPr>
            <b/>
            <sz val="8"/>
            <rFont val="Arial"/>
            <family val="2"/>
          </rPr>
          <t>Earnings before interest and taxes for an
all-equity financed project
(variable EBIT_EquityFin)</t>
        </r>
      </text>
    </comment>
    <comment ref="B97" authorId="0" shapeId="0">
      <text>
        <r>
          <rPr>
            <b/>
            <sz val="8"/>
            <rFont val="Arial"/>
            <family val="2"/>
          </rPr>
          <t>Earnings before interest, income taxes,
depreciation, and amortization. Computed as
revenue less operating expenses, segmented by
subproject and by time period. Covers model time,
excludes tail after model time.</t>
        </r>
      </text>
    </comment>
    <comment ref="B99" authorId="0" shapeId="0">
      <text>
        <r>
          <rPr>
            <b/>
            <sz val="8"/>
            <rFont val="Arial"/>
            <family val="2"/>
          </rPr>
          <t>Earnings before interest, income taxes,
depreciation, and amortization. Computed as
revenue less operating expenses, segmented by
subproject and by time period. Covers model time,
excludes tail after model time.
Used only for plot support.
(variable EBITDA_plt)</t>
        </r>
      </text>
    </comment>
    <comment ref="B101" authorId="0" shapeId="0">
      <text>
        <r>
          <rPr>
            <b/>
            <sz val="8"/>
            <rFont val="Arial"/>
            <family val="2"/>
          </rPr>
          <t>Fixed operating expenses, segmented by subproject
and by time period. Fixed expense begins when the
investment is made. 'Fixed' means the expense does
not vary with revenue or sales units; it can vary
with time.
The variable computes values from a formula that
uses previous fixed expense and 'Fixed Operating
Expense Growth rate'. You can override the default
values by entering your own values.
(variable Expense_Oper_Fixed)</t>
        </r>
      </text>
    </comment>
    <comment ref="B103" authorId="0" shapeId="0">
      <text>
        <r>
          <rPr>
            <b/>
            <sz val="8"/>
            <rFont val="Arial"/>
            <family val="2"/>
          </rPr>
          <t>Rate of growth of fixed operating expenses,
segmented by subproject and by time period.
'Fixed' means the expense does not vary with
revenue or sales units; it can vary with time.
(variable Expense_Oper_Fixed_Growth_pct)</t>
        </r>
      </text>
    </comment>
    <comment ref="B105" authorId="0" shapeId="0">
      <text>
        <r>
          <rPr>
            <b/>
            <sz val="8"/>
            <rFont val="Arial"/>
            <family val="2"/>
          </rPr>
          <t>Rate of growth of fixed operating expenses in each
time period, annualized. Segmented by subproject,
product, and time period. 'Fixed' means the
expense does not vary with revenue or sales units;
it can vary with time.
(variable Expense_Oper_Fixed_Growth_pct_Yr_In)</t>
        </r>
      </text>
    </comment>
    <comment ref="B107" authorId="0" shapeId="0">
      <text>
        <r>
          <rPr>
            <b/>
            <sz val="8"/>
            <rFont val="Arial"/>
            <family val="2"/>
          </rPr>
          <t>Fixed operating expense in the first time period,
segmented by subproject and product. 'Fixed' means
the expense does not vary with revenue or sales
units; it can vary with time.
(variable Expense_Oper_Fixed_Initial)</t>
        </r>
      </text>
    </comment>
    <comment ref="B109" authorId="0" shapeId="0">
      <text>
        <r>
          <rPr>
            <b/>
            <sz val="8"/>
            <rFont val="Arial"/>
            <family val="2"/>
          </rPr>
          <t>Variable operating expense, segmented by
subproject, variable expense account, and time
period.
The variable computes values from a formula that
uses revenue and 'Variable Operating Expense as a
percent of revenue'. You can override the default
values by entering your own values.
(variable Expense_Oper_Variable)</t>
        </r>
      </text>
    </comment>
    <comment ref="B111" authorId="0" shapeId="0">
      <text>
        <r>
          <rPr>
            <b/>
            <sz val="8"/>
            <rFont val="Arial"/>
            <family val="2"/>
          </rPr>
          <t>Variable operating expense as a percent of
revenue, segmented by subproject, variable expense
account, and time period
(variable Expense_Oper_Variable_pct_Rev)</t>
        </r>
      </text>
    </comment>
    <comment ref="B113" authorId="0" shapeId="0">
      <text>
        <r>
          <rPr>
            <b/>
            <sz val="8"/>
            <rFont val="Arial"/>
            <family val="2"/>
          </rPr>
          <t>Financial and tax expense, segmented by type of
expense (such as interest, lease expense, income
tax), and by sub-project and time period
(variable Fin_Tax_Exp)</t>
        </r>
      </text>
    </comment>
    <comment ref="B117" authorId="0" shapeId="0">
      <text>
        <r>
          <rPr>
            <b/>
            <sz val="8"/>
            <rFont val="Arial"/>
            <family val="2"/>
          </rPr>
          <t>Weights for types of financing used to finance the
project. Segmented by financing types,
subprojects, and time period.
If you enter weights for Debt and Lease, the
template will default to a weight for Equity that
makes the weights add to 100% for each subproject.
(variable Fin_Type_Wgts)</t>
        </r>
      </text>
    </comment>
    <comment ref="B120" authorId="0" shapeId="0">
      <text>
        <r>
          <rPr>
            <b/>
            <sz val="8"/>
            <rFont val="Arial"/>
            <family val="2"/>
          </rPr>
          <t>Weights for types of financing used to finance the
project. Segmented by financing types,
subprojects, and time period. This variable is
used in models that have financing scenarios.
If you enter weights for Debt and Lease, the
template will default to a weight for Equity that
makes the weights add to 100% for each subproject.
(variable Fin_Type_Wgts_Sc)</t>
        </r>
      </text>
    </comment>
    <comment ref="B126" authorId="0" shapeId="0">
      <text>
        <r>
          <rPr>
            <b/>
            <sz val="8"/>
            <rFont val="Arial"/>
            <family val="2"/>
          </rPr>
          <t>The ratio (lease + debt financing) / (gross
investment), by time period. Used in computing
discount rate for capital asset pricing model (an
optional method for computing the discount rate).
(variable Financial_Leverage)</t>
        </r>
      </text>
    </comment>
    <comment ref="B128" authorId="0" shapeId="0">
      <text>
        <r>
          <rPr>
            <b/>
            <sz val="8"/>
            <rFont val="Arial"/>
            <family val="2"/>
          </rPr>
          <t>Indicates which financing scenario is being used
in the model currently. To change to a different
scenario, enter a whole number thta represents the
scenario you want to use in the model.
(variable Financing_Scenario)</t>
        </r>
      </text>
    </comment>
    <comment ref="B130" authorId="0" shapeId="0">
      <text>
        <r>
          <rPr>
            <b/>
            <sz val="8"/>
            <rFont val="Arial"/>
            <family val="2"/>
          </rPr>
          <t>Income tax expense, segmented by sub-project and
time period
(variable Income_Tax)</t>
        </r>
      </text>
    </comment>
    <comment ref="B132" authorId="0" shapeId="0">
      <text>
        <r>
          <rPr>
            <b/>
            <sz val="8"/>
            <rFont val="Arial"/>
            <family val="2"/>
          </rPr>
          <t>Income tax expense for 100% equity financing, by
time period. Investment tax credit has not been
subtracted at this point. The model does not
include loss carried forward.
This variable does not enforce the constsraint
that taxes are positive or zero, so that it can be
used in blended financing.
(variable Income_Tax_EquityFin)</t>
        </r>
      </text>
    </comment>
    <comment ref="B134" authorId="0" shapeId="0">
      <text>
        <r>
          <rPr>
            <b/>
            <sz val="8"/>
            <rFont val="Arial"/>
            <family val="2"/>
          </rPr>
          <t>Income tax rate on taxable income. If taxable
income is negative, tax is zero.
(variable Income_Tax_Rate)</t>
        </r>
      </text>
    </comment>
    <comment ref="B136" authorId="0" shapeId="0">
      <text>
        <r>
          <rPr>
            <b/>
            <sz val="8"/>
            <rFont val="Arial"/>
            <family val="2"/>
          </rPr>
          <t>Variable that counts how many time periods have
passed during the useful life of each investment.
The count starts with the first full time period
after the investment.
(variable Invest_Age_Depr_Period)</t>
        </r>
      </text>
    </comment>
    <comment ref="B139" authorId="0" shapeId="0">
      <text>
        <r>
          <rPr>
            <b/>
            <sz val="8"/>
            <rFont val="Arial"/>
            <family val="2"/>
          </rPr>
          <t>Variable that counts how many time periods have
passed during the useful life of each investment.
The count starts with the first full time period
after the investment.
(variable Invest_Age_Phys_Period)</t>
        </r>
      </text>
    </comment>
    <comment ref="B142" authorId="0" shapeId="0">
      <text>
        <r>
          <rPr>
            <b/>
            <sz val="8"/>
            <rFont val="Arial"/>
            <family val="2"/>
          </rPr>
          <t>Date on which each fixed investment is made
(variable Invest_Date)</t>
        </r>
      </text>
    </comment>
    <comment ref="B144" authorId="0" shapeId="0">
      <text>
        <r>
          <rPr>
            <b/>
            <sz val="8"/>
            <rFont val="Arial"/>
            <family val="2"/>
          </rPr>
          <t>Date on which the first fixed investment is made
(variable Invest_First_Date)</t>
        </r>
      </text>
    </comment>
    <comment ref="B147" authorId="0" shapeId="0">
      <text>
        <r>
          <rPr>
            <b/>
            <sz val="8"/>
            <rFont val="Arial"/>
            <family val="2"/>
          </rPr>
          <t>Fixed depreciable and non-depreciable investment,
segmented by subproject, before subtracting
investment tax credit. The model assumes you must
finance only net investment.
(variable Invest_Fixed_Gross)</t>
        </r>
      </text>
    </comment>
    <comment ref="B150" authorId="0" shapeId="0">
      <text>
        <r>
          <rPr>
            <b/>
            <sz val="8"/>
            <rFont val="Arial"/>
            <family val="2"/>
          </rPr>
          <t>Net investment is gross investmnet less investment
tax credit, segmented by subproject. The
investment tax credit may be paid after the start
of each subproject. The model assumes you must
finance only net investment.
The effective net investment for leased assets is
assumed to be less because parties that have title
to the assets get the investment tax credit, and
this reduces leasing costs.
(variable Invest_Fixed_Net)</t>
        </r>
      </text>
    </comment>
    <comment ref="B152" authorId="0" shapeId="0">
      <text>
        <r>
          <rPr>
            <b/>
            <sz val="8"/>
            <rFont val="Arial"/>
            <family val="2"/>
          </rPr>
          <t>The residual value of depreciable investment at
the end of the project, segmented by subproject. 
The residual value of non-depreciable investments
defaults to the initial value, and you can
override this default to reflect changes in market
value of land.
(variable Invest_Fixed_Resid_Value)</t>
        </r>
      </text>
    </comment>
    <comment ref="B155" authorId="0" shapeId="0">
      <text>
        <r>
          <rPr>
            <b/>
            <sz val="8"/>
            <rFont val="Arial"/>
            <family val="2"/>
          </rPr>
          <t>Initial gross investment is depreciable investment
plus non-depreciable investment plus initial
working capital. Excludes residual value of
investments. Gross investment is computed for each
subproject, but not for each investment within a
subproject. 
This amount is used to compute the principal
amounts for debt and effective principal amounts
for leases.
(variable Invest_Gross)</t>
        </r>
      </text>
    </comment>
    <comment ref="B157" authorId="0" shapeId="0">
      <text>
        <r>
          <rPr>
            <b/>
            <sz val="8"/>
            <rFont val="Arial"/>
            <family val="2"/>
          </rPr>
          <t>Variable that counts how many time periods have
passed during the depreciation life of each
investment. The count starts with the first full
time period after the investment.
(variable Invest_Life_Depr_Period)</t>
        </r>
      </text>
    </comment>
    <comment ref="B159" authorId="0" shapeId="0">
      <text>
        <r>
          <rPr>
            <b/>
            <sz val="8"/>
            <rFont val="Arial"/>
            <family val="2"/>
          </rPr>
          <t>Depreciation life of each investment, expressed in
years. Values should be multiples of the time
grain. At the end of depreciation life,
depreciation stops. The asset remains available
for use until the end of physical life, at which
time the salvage value of the asset is realized.
(variable Invest_Life_Depr_Yr)</t>
        </r>
      </text>
    </comment>
    <comment ref="B161" authorId="0" shapeId="0">
      <text>
        <r>
          <rPr>
            <b/>
            <sz val="8"/>
            <rFont val="Arial"/>
            <family val="2"/>
          </rPr>
          <t>Physical life of the depreciable asset, expressed
in years. Values should be multiples of the time
grain. At the end of physical life, salvage value
of assets is realized, and he asset is no longer
available.
(variable Invest_Life_Phys_Period)</t>
        </r>
      </text>
    </comment>
    <comment ref="B163" authorId="0" shapeId="0">
      <text>
        <r>
          <rPr>
            <b/>
            <sz val="8"/>
            <rFont val="Arial"/>
            <family val="2"/>
          </rPr>
          <t>Physical life of the depreciable asset, expressed
in years. Values should be multiples of the time
grain. At the end of physical life, salvage value
of assets is realized, and he asset is no longer
available.
(variable Invest_Life_Phys_Yr)</t>
        </r>
      </text>
    </comment>
    <comment ref="B165" authorId="0" shapeId="0">
      <text>
        <r>
          <rPr>
            <b/>
            <sz val="8"/>
            <rFont val="Arial"/>
            <family val="2"/>
          </rPr>
          <t>(variable Invest_Name)</t>
        </r>
      </text>
    </comment>
    <comment ref="B168" authorId="0" shapeId="0">
      <text>
        <r>
          <rPr>
            <b/>
            <sz val="8"/>
            <rFont val="Arial"/>
            <family val="2"/>
          </rPr>
          <t>Investment tax credit, segmented by subproject.
Applies only to depreciable investment. Excludes
leased assets because the project does not get the
investment tax credit for these assets.
(variable Invest_Tax_Credit)</t>
        </r>
      </text>
    </comment>
    <comment ref="B170" authorId="0" shapeId="0">
      <text>
        <r>
          <rPr>
            <b/>
            <sz val="8"/>
            <rFont val="Arial"/>
            <family val="2"/>
          </rPr>
          <t>Date on which the investment tax credit is paid to
the project
(variable Invest_Tax_Credit_Date)</t>
        </r>
      </text>
    </comment>
    <comment ref="B172" authorId="0" shapeId="0">
      <text>
        <r>
          <rPr>
            <b/>
            <sz val="8"/>
            <rFont val="Arial"/>
            <family val="2"/>
          </rPr>
          <t>Investment tax credit, segmented by subproject.
Applies only to depreciable investment. This value
assumes the company can take the entire investment
tax credit for all assets, so it uses no lease
financing.
(variable Invest_Tax_Credit_EquityFin)</t>
        </r>
      </text>
    </comment>
    <comment ref="B174" authorId="0" shapeId="0">
      <text>
        <r>
          <rPr>
            <b/>
            <sz val="8"/>
            <rFont val="Arial"/>
            <family val="2"/>
          </rPr>
          <t>Percentage of depreciable investment that
determines investment tax credit, segmented by
subproject
(variable Invest_Tax_Credit_pct)</t>
        </r>
      </text>
    </comment>
    <comment ref="B176" authorId="0" shapeId="0">
      <text>
        <r>
          <rPr>
            <b/>
            <sz val="8"/>
            <rFont val="Arial"/>
            <family val="2"/>
          </rPr>
          <t>Counts how many time periods have passed during
the depreciation life of each investment. The
count starts with the first full time period after
the investment.
The rollup over investments per subproject
indicate (with 1's) the full time range of each
subproject.
(variable Invest_Time_Depr_Period)</t>
        </r>
      </text>
    </comment>
    <comment ref="B179" authorId="0" shapeId="0">
      <text>
        <r>
          <rPr>
            <b/>
            <sz val="8"/>
            <rFont val="Arial"/>
            <family val="2"/>
          </rPr>
          <t>Counts how many time periods have passed during
the useful life of each investment. The count
starts with the first full time period after the
investment.
The rollup over investments per subproject
indicate (with 1's) the envelope of useful time
ranges of fixed investments in each subproject.
(variable Invest_Time_Phys_Period)</t>
        </r>
      </text>
    </comment>
    <comment ref="B182" authorId="0" shapeId="0">
      <text>
        <r>
          <rPr>
            <b/>
            <sz val="8"/>
            <rFont val="Arial"/>
            <family val="2"/>
          </rPr>
          <t>Initial guess for annualized internal rate of
return on investment using weighted blend of
financing types.
The algorithm for computing IRR needs a starting
guess.
(variable IRR_Guess_Yr)</t>
        </r>
      </text>
    </comment>
    <comment ref="B184" authorId="0" shapeId="0">
      <text>
        <r>
          <rPr>
            <b/>
            <sz val="8"/>
            <rFont val="Arial"/>
            <family val="2"/>
          </rPr>
          <t>Initial guess for annualized internal rate of
return on investment, in the case of all-equity
financing. 
The algorithm for computing IRR needs a starting
guess.
(variable IRR_Guess_Yr_EquityFin)</t>
        </r>
      </text>
    </comment>
    <comment ref="B186" authorId="0" shapeId="0">
      <text>
        <r>
          <rPr>
            <b/>
            <sz val="8"/>
            <rFont val="Arial"/>
            <family val="2"/>
          </rPr>
          <t>Annualized internal rate of return for the project
using blended financing, during mdoel time.
Excludes cash flow in the tail after model time.
(variable IRR_Yr)</t>
        </r>
      </text>
    </comment>
    <comment ref="B188" authorId="0" shapeId="0">
      <text>
        <r>
          <rPr>
            <b/>
            <sz val="8"/>
            <rFont val="Arial"/>
            <family val="2"/>
          </rPr>
          <t>Annualized internal rate of return for the project
using equity financing, during model time.
Excludes cash flow in the tail after model time.
(variable IRR_Yr_EquityFin)</t>
        </r>
      </text>
    </comment>
    <comment ref="B190" authorId="0" shapeId="0">
      <text>
        <r>
          <rPr>
            <b/>
            <sz val="8"/>
            <rFont val="Arial"/>
            <family val="2"/>
          </rPr>
          <t>Balloon payment due at end of term for lease
financing. It is reduced by the percentage of
lease financing for each asset. Segmented by
investments in each Subproject. 
(variable Lease_Balloon_Pay)</t>
        </r>
      </text>
    </comment>
    <comment ref="B192" authorId="0" shapeId="0">
      <text>
        <r>
          <rPr>
            <b/>
            <sz val="8"/>
            <rFont val="Arial"/>
            <family val="2"/>
          </rPr>
          <t>Lease payments for lease financing. Segmented by
sub-project, investment, and time period. Includes
balloon payments at the end of the lease term.
Excludes cash flow in the 'tail' after the end of
model time. 
You should adjust the effective annual lease rate
to get the payment you want in the analysis. The
payment is computed as a percentage of net
investment (net of assumed investment tax credit,
which the lessor receives).
(variable Lease_Pay)</t>
        </r>
      </text>
    </comment>
    <comment ref="B194" authorId="0" shapeId="0">
      <text>
        <r>
          <rPr>
            <b/>
            <sz val="8"/>
            <rFont val="Arial"/>
            <family val="2"/>
          </rPr>
          <t>Effective interest rate per time period at which
lease financing can be obtained for this
investment project.
(variable Lease_Rate)</t>
        </r>
      </text>
    </comment>
    <comment ref="B196" authorId="0" shapeId="0">
      <text>
        <r>
          <rPr>
            <b/>
            <sz val="8"/>
            <rFont val="Arial"/>
            <family val="2"/>
          </rPr>
          <t>Effective annual interest rate at which lease
financing can be obtained for each subproject, by
time period. This rate is used to estimate lease
payments based on the value of assets leased. The
lease rate is assumed to be based on asset value
net of investment tax credit.
Specifying lease payments in this way enables you
to alter the value of leased assets and the lease
payment adjusts in a reasonable way. It also
enables you to compare effective financing rates
for debt and leases.
The lease rate for the first time period and the
first subproject is, by default, copied to later
time periods and other subprojects. You can
override the default by entering a discount rate
for any time period and subproject.
(variable Lease_Rate_Yr)</t>
        </r>
      </text>
    </comment>
    <comment ref="B198" authorId="0" shapeId="0">
      <text>
        <r>
          <rPr>
            <b/>
            <sz val="8"/>
            <rFont val="Arial"/>
            <family val="2"/>
          </rPr>
          <t>Net income is EBITDA (revenue less operating
expense), less depreciation and amortization
(which yields EBIT), less interest expense, lease
costs, and income tax.
(variable Net_Income)</t>
        </r>
      </text>
    </comment>
    <comment ref="B200" authorId="0" shapeId="0">
      <text>
        <r>
          <rPr>
            <b/>
            <sz val="8"/>
            <rFont val="Arial"/>
            <family val="2"/>
          </rPr>
          <t>Net income after operations expense, interest
expense, depreciation, lease costs and income tax.
Used only for plot support.
(variable Net_Income_plt)</t>
        </r>
      </text>
    </comment>
    <comment ref="B202" authorId="0" shapeId="0">
      <text>
        <r>
          <rPr>
            <b/>
            <sz val="8"/>
            <rFont val="Arial"/>
            <family val="2"/>
          </rPr>
          <t>NPV of cash flow of the project and subprojects,
using blended financing
(variable NPV_BlendedFin)</t>
        </r>
      </text>
    </comment>
    <comment ref="B204" authorId="0" shapeId="0">
      <text>
        <r>
          <rPr>
            <b/>
            <sz val="8"/>
            <rFont val="Arial"/>
            <family val="2"/>
          </rPr>
          <t>Net present value of discounted cash flows for the
case of 100% equity financing.
(variable NPV_EquityFin)</t>
        </r>
      </text>
    </comment>
    <comment ref="B206" authorId="0" shapeId="0">
      <text>
        <r>
          <rPr>
            <b/>
            <sz val="8"/>
            <rFont val="Arial"/>
            <family val="2"/>
          </rPr>
          <t>Average selling price of each unit sold, segmented
by by subproject, product, and time period
(variable Price_Average)</t>
        </r>
      </text>
    </comment>
    <comment ref="B209" authorId="0" shapeId="0">
      <text>
        <r>
          <rPr>
            <b/>
            <sz val="8"/>
            <rFont val="Arial"/>
            <family val="2"/>
          </rPr>
          <t>Name of the investment project
(variable Project_Name)</t>
        </r>
      </text>
    </comment>
    <comment ref="B211" authorId="0" shapeId="0">
      <text>
        <r>
          <rPr>
            <b/>
            <sz val="8"/>
            <rFont val="Arial"/>
            <family val="2"/>
          </rPr>
          <t>Average annualized return on capital during model
time (excluding the cash flow in the tail after
model time)
(variable Return_on_Cap_Avg_Yr)</t>
        </r>
      </text>
    </comment>
    <comment ref="B213" authorId="0" shapeId="0">
      <text>
        <r>
          <rPr>
            <b/>
            <sz val="8"/>
            <rFont val="Arial"/>
            <family val="2"/>
          </rPr>
          <t>Return on sales % is (EBIT less tax) / Revenue, by
time period
(variable Return_on_Sales_pct)</t>
        </r>
      </text>
    </comment>
    <comment ref="B215" authorId="0" shapeId="0">
      <text>
        <r>
          <rPr>
            <b/>
            <sz val="8"/>
            <rFont val="Arial"/>
            <family val="2"/>
          </rPr>
          <t>Revenue, segmented by subproject, product and time
period.
The variable computes values from a formula that
uses previous revenue and 'Revenue Growth rate'.
You can override the default values by entering
your own values.</t>
        </r>
      </text>
    </comment>
    <comment ref="B217" authorId="0" shapeId="0">
      <text>
        <r>
          <rPr>
            <b/>
            <sz val="8"/>
            <rFont val="Arial"/>
            <family val="2"/>
          </rPr>
          <t>Revenue growth rate in each time period,
annualized. Segmented by subproject, product, and
time period
(variable Revenue_Growth_pct_Yr)</t>
        </r>
      </text>
    </comment>
    <comment ref="B219" authorId="0" shapeId="0">
      <text>
        <r>
          <rPr>
            <b/>
            <sz val="8"/>
            <rFont val="Arial"/>
            <family val="2"/>
          </rPr>
          <t>The risk premium in the capital asset pricing
model, by time period
(variable Risk_Premium)</t>
        </r>
      </text>
    </comment>
    <comment ref="B221" authorId="0" shapeId="0">
      <text>
        <r>
          <rPr>
            <b/>
            <sz val="8"/>
            <rFont val="Arial"/>
            <family val="2"/>
          </rPr>
          <t>Annualized risk premium in the capital asset
pricing model, by time period
(variable Risk_Premium_Yr)</t>
        </r>
      </text>
    </comment>
    <comment ref="B223" authorId="0" shapeId="0">
      <text>
        <r>
          <rPr>
            <b/>
            <sz val="8"/>
            <rFont val="Arial"/>
            <family val="2"/>
          </rPr>
          <t>Rate of return on "riskless" investments in the
capital asset pricing model, for each time period.
Usually approximated as the rate of return on
treasury bills.
(variable Riskless_Rate)</t>
        </r>
      </text>
    </comment>
    <comment ref="B225" authorId="0" shapeId="0">
      <text>
        <r>
          <rPr>
            <b/>
            <sz val="8"/>
            <rFont val="Arial"/>
            <family val="2"/>
          </rPr>
          <t>Annual rate of return on "riskless" investments in
the capital asset pricing model. Usually
approximated as the rate of return on treasury
bills.
(variable Riskless_Rate_Yr)</t>
        </r>
      </text>
    </comment>
    <comment ref="B227" authorId="0" shapeId="0">
      <text>
        <r>
          <rPr>
            <b/>
            <sz val="8"/>
            <rFont val="Arial"/>
            <family val="2"/>
          </rPr>
          <t>Number of units sold per time period, segmented by
subproject, product and time period. Sales for
each subproject begin in the time period after
investment and continue until the latest end of
useful life of any fixed investment.
(variable Sales_Units)</t>
        </r>
      </text>
    </comment>
    <comment ref="B229" authorId="0" shapeId="0">
      <text>
        <r>
          <rPr>
            <b/>
            <sz val="8"/>
            <rFont val="Arial"/>
            <family val="2"/>
          </rPr>
          <t>Annualized revenue growth rate in each time
period, segmented by subproject, and product.
(variable Sales_Units_Growth_pct)</t>
        </r>
      </text>
    </comment>
    <comment ref="B231" authorId="0" shapeId="0">
      <text>
        <r>
          <rPr>
            <b/>
            <sz val="8"/>
            <rFont val="Arial"/>
            <family val="2"/>
          </rPr>
          <t>Annualized growth rate of sales units in each time
period, segmented by subproject and product.
(variable Sales_Units_Growth_pct_Yr)</t>
        </r>
      </text>
    </comment>
    <comment ref="B233" authorId="0" shapeId="0">
      <text>
        <r>
          <rPr>
            <b/>
            <sz val="8"/>
            <rFont val="Arial"/>
            <family val="2"/>
          </rPr>
          <t>Sales Units in the first time period, segmented by
subproject and product
(variable Sales_Units_Initial)</t>
        </r>
      </text>
    </comment>
    <comment ref="B235" authorId="0" shapeId="0">
      <text>
        <r>
          <rPr>
            <b/>
            <sz val="8"/>
            <rFont val="Arial"/>
            <family val="2"/>
          </rPr>
          <t>Discount rate per time period applied to cash
flows that are projected after the end model time
(variable Tail_Discount_Rate)</t>
        </r>
      </text>
    </comment>
    <comment ref="B237" authorId="0" shapeId="0">
      <text>
        <r>
          <rPr>
            <b/>
            <sz val="8"/>
            <rFont val="Arial"/>
            <family val="2"/>
          </rPr>
          <t>Annualized discount rate applied to cash flows
that are projected after the end of model time
(variable Tail_Discount_Rate_Yr)</t>
        </r>
      </text>
    </comment>
    <comment ref="B239" authorId="0" shapeId="0">
      <text>
        <r>
          <rPr>
            <b/>
            <sz val="8"/>
            <rFont val="Arial"/>
            <family val="2"/>
          </rPr>
          <t>Value of cash flows from blended financing that
occur after the end of model time, discounted to
the end of model time. Based on equity financing
and cash flow in the last period of model time.
(variable Tail_Future_Value_BlendFin)</t>
        </r>
      </text>
    </comment>
    <comment ref="B241" authorId="0" shapeId="0">
      <text>
        <r>
          <rPr>
            <b/>
            <sz val="8"/>
            <rFont val="Arial"/>
            <family val="2"/>
          </rPr>
          <t>Value of cash flows that occur after the end of
model time, discounted to the end of model time.
Based on equity financing and cash flow in the
last period of model time.
(variable Tail_Future_Value_EqFin)</t>
        </r>
      </text>
    </comment>
    <comment ref="B243" authorId="0" shapeId="0">
      <text>
        <r>
          <rPr>
            <b/>
            <sz val="8"/>
            <rFont val="Arial"/>
            <family val="2"/>
          </rPr>
          <t>Factor that multiples last value of cash flow in
model time to yield future value of cash flows
that occur in the early phase of the time after
the end of model time, discounted to the end of
model time. 
Derviation of present value:
A = First term = Last(Cash_Flow) *
(1+Tail_Growth_Rate_Early)
N = Number of terms = periods_per("year") *
Tail_Time_Early_Yr
gr = geometric factor = (1+growth) / (1+r)
Term in period n is: A * gr^(n-1), for n = 0, ...
N-1
Then sum of first N terms is: A *(1-gr^N) /
(1-gr) = A * (1+r) * (1-((1+g) / (1+r))^N) / (r-g)
As N becomes indefinitely large, this becomes A *
(1+r) / (r-g)
(variable Tail_FV_Early_Factor)</t>
        </r>
      </text>
    </comment>
    <comment ref="B245" authorId="0" shapeId="0">
      <text>
        <r>
          <rPr>
            <b/>
            <sz val="8"/>
            <rFont val="Arial"/>
            <family val="2"/>
          </rPr>
          <t>Factor that multiples last value of cash flow in
model time to yield future value of cash flows
that occur in the late phase of the time after the
end of model time, discounted to the end of model
time. 
Derviation of present value:
A = First term = Last(Cash_Flow) *
(1+Tail_Growth_Rate_Early_Yr)^Tail_Time_Early_Yr *
(1+Tail_Growth_Rate_Late)
N = Number of terms = periods_per("year") *
Tail_Time_Later_Yr
gr = geometric factor =(1+growth) / (1+r)
Term in period n is: A * gr^(n-1), for n = 0, ...
N-1
Then sum of first N terms is: A * (1-gr^N) /
(1-gr) = A * (1+r) * (1-((1+g)/(1+r))^N) / (r-g)
As N becomes indefinitely large, this becomes A *
(1+r) / (r-g)
Discounting forward from end of the early tail to
the end of model time is accomplished by a factor
1 / (1+r)^N[early]
(variable Tail_FV_Late_Factor)</t>
        </r>
      </text>
    </comment>
    <comment ref="B247" authorId="0" shapeId="0">
      <text>
        <r>
          <rPr>
            <b/>
            <sz val="8"/>
            <rFont val="Arial"/>
            <family val="2"/>
          </rPr>
          <t>The rate at which cash flow grows in the early
phase after the end of model time.
Time after model time is segmented into an early
phase and a late phase, to enable you to specify a
higher growth rate for the early segment and lower
growth for the late segment.
(variable Tail_Growth_Rate_Early)</t>
        </r>
      </text>
    </comment>
    <comment ref="B249" authorId="0" shapeId="0">
      <text>
        <r>
          <rPr>
            <b/>
            <sz val="8"/>
            <rFont val="Arial"/>
            <family val="2"/>
          </rPr>
          <t>Annualized rate at which cash flow grows in the
early phase after the end of model time
Time after model time is segmented into an early
phase and a late phase, to enable you to specify a
higher growth rate for the early segment and lower
growth for the late segment.
(variable Tail_Growth_Rate_Early_Yr)</t>
        </r>
      </text>
    </comment>
    <comment ref="B251" authorId="0" shapeId="0">
      <text>
        <r>
          <rPr>
            <b/>
            <sz val="8"/>
            <rFont val="Arial"/>
            <family val="2"/>
          </rPr>
          <t>The rate at which cash flow grows in the late
phase of time after the end of model time 
(variable Tail_Growth_Rate_Late)</t>
        </r>
      </text>
    </comment>
    <comment ref="B253" authorId="0" shapeId="0">
      <text>
        <r>
          <rPr>
            <b/>
            <sz val="8"/>
            <rFont val="Arial"/>
            <family val="2"/>
          </rPr>
          <t>Annualized rate at which cash flow grows in the
late phase of time after the end of model time.
This growth rate should be LESS THAN the discount
rate in the tail time.
Time after model time is segmented into an early
phase and a late phase, to enable you to specify a
higher growth rate for the early segment and lower
growth for the late segment.
(variable Tail_Growth_Rate_Late_Yr)</t>
        </r>
      </text>
    </comment>
    <comment ref="B255" authorId="0" shapeId="0">
      <text>
        <r>
          <rPr>
            <b/>
            <sz val="8"/>
            <rFont val="Arial"/>
            <family val="2"/>
          </rPr>
          <t>Present value at start of model time of cash flows
that occur after the end of model time. Cash flows
after model time are projected from cash flows
(that assume blending financing) in the last
period of model time and user-specified growth
rates.
(variable Tail_NPV_BlendedFin)</t>
        </r>
      </text>
    </comment>
    <comment ref="B257" authorId="0" shapeId="0">
      <text>
        <r>
          <rPr>
            <b/>
            <sz val="8"/>
            <rFont val="Arial"/>
            <family val="2"/>
          </rPr>
          <t>Present value at start of model time of cash flows
that occur after the end of model time. Cash flows
after model time are projected from cash flows
(that assume equity-only financing) in the last
period of model time and user-specified growth
rates.
(variable Tail_NPV_EqFin)</t>
        </r>
      </text>
    </comment>
    <comment ref="B259" authorId="0" shapeId="0">
      <text>
        <r>
          <rPr>
            <b/>
            <sz val="8"/>
            <rFont val="Arial"/>
            <family val="2"/>
          </rPr>
          <t>duration of the early phase of the time after
model time, expressed in years.
Time after model time is segmented into an early
phase and a late phase, to enable you to specify a
higher growth rate for the early segment and lower
growth for the late segment.
(variable Tail_Time_Early_Yr)</t>
        </r>
      </text>
    </comment>
    <comment ref="B261" authorId="0" shapeId="0">
      <text>
        <r>
          <rPr>
            <b/>
            <sz val="8"/>
            <rFont val="Arial"/>
            <family val="2"/>
          </rPr>
          <t>Enumerates time periods in longer time than model
time at both ends.
(variable Time_Long_Period)</t>
        </r>
      </text>
    </comment>
    <comment ref="B263" authorId="0" shapeId="0">
      <text>
        <r>
          <rPr>
            <b/>
            <sz val="8"/>
            <rFont val="Arial"/>
            <family val="2"/>
          </rPr>
          <t>Counts time in years
(variable Time_Yr)</t>
        </r>
      </text>
    </comment>
    <comment ref="B265" authorId="0" shapeId="0">
      <text>
        <r>
          <rPr>
            <b/>
            <sz val="8"/>
            <rFont val="Arial"/>
            <family val="2"/>
          </rPr>
          <t>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
(variable Valuation_BlendedFin)</t>
        </r>
      </text>
    </comment>
    <comment ref="B267" authorId="0" shapeId="0">
      <text>
        <r>
          <rPr>
            <b/>
            <sz val="8"/>
            <rFont val="Arial"/>
            <family val="2"/>
          </rPr>
          <t>Valuation of the investment in each time period,
as present value of cash flow including tail
value, using equity financing
(variable Valuation_EquityFin)</t>
        </r>
      </text>
    </comment>
    <comment ref="B269" authorId="0" shapeId="0">
      <text>
        <r>
          <rPr>
            <b/>
            <sz val="8"/>
            <rFont val="Arial"/>
            <family val="2"/>
          </rPr>
          <t>Valuation of the investment in each time period,
as present value of total cash flow including tail
value, using blended financing if applicable
Used only for plot support.
(variable Valuation_plt)</t>
        </r>
      </text>
    </comment>
    <comment ref="B271" authorId="0" shapeId="0">
      <text>
        <r>
          <rPr>
            <b/>
            <sz val="8"/>
            <rFont val="Arial"/>
            <family val="2"/>
          </rPr>
          <t>Portion of working capital that is written off at
the end of project life. It is treated as an
amortization expense, so it is deducted from EBIT,
but not from EBITDA.
(variable Working_Cap_Amort)</t>
        </r>
      </text>
    </comment>
    <comment ref="B273" authorId="0" shapeId="0">
      <text>
        <r>
          <rPr>
            <b/>
            <sz val="8"/>
            <rFont val="Arial"/>
            <family val="2"/>
          </rPr>
          <t>The initial working capital invested at the start
of each subproject, segmented by working capital
account and by subproject
(variable Working_Cap_Initial)</t>
        </r>
      </text>
    </comment>
    <comment ref="B275" authorId="0" shapeId="0">
      <text>
        <r>
          <rPr>
            <b/>
            <sz val="8"/>
            <rFont val="Arial"/>
            <family val="2"/>
          </rPr>
          <t>Maximum working capital over time, segmented by
working capital accounts, subproject, and time
period. The maximum working capital is computed
for each project separately.
(variable Working_Cap_Max)</t>
        </r>
      </text>
    </comment>
    <comment ref="B277" authorId="0" shapeId="0">
      <text>
        <r>
          <rPr>
            <b/>
            <sz val="8"/>
            <rFont val="Arial"/>
            <family val="2"/>
          </rPr>
          <t>Working capital requirements as a percentage of
revenue, segmented by working capital account and
by subproject. 
Working capital is specified directly in the
first time period for each subproject. In later
time periods, working capital is set as a percent
of revenue.
(variable Working_Cap_pct_Rev)</t>
        </r>
      </text>
    </comment>
    <comment ref="B279" authorId="0" shapeId="0">
      <text>
        <r>
          <rPr>
            <b/>
            <sz val="8"/>
            <rFont val="Arial"/>
            <family val="2"/>
          </rPr>
          <t>Working capital salvage value as a percentage of
the working capital at the termination of the
project, segmented by working capital account and
by subproject
(variable Working_Cap_Residual_pct)</t>
        </r>
      </text>
    </comment>
    <comment ref="B281"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List>
</comments>
</file>

<file path=xl/comments11.xml><?xml version="1.0" encoding="utf-8"?>
<comments xmlns="http://schemas.openxmlformats.org/spreadsheetml/2006/main">
  <authors>
    <author>LOCAL SERVICE</author>
  </authors>
  <commentList>
    <comment ref="A5" authorId="0" shapeId="0">
      <text>
        <r>
          <rPr>
            <b/>
            <sz val="8"/>
            <rFont val="Arial"/>
            <family val="2"/>
          </rPr>
          <t>Book value of the investment project at the end of
each time period. The model does not include cash
withdrawals from the business, so book value can
be positive after operations have ceased.
Used only for plot support.
(variable Book_Value_End_plt)</t>
        </r>
      </text>
    </comment>
    <comment ref="A10" authorId="0" shapeId="0">
      <text>
        <r>
          <rPr>
            <b/>
            <sz val="8"/>
            <rFont val="Arial"/>
            <family val="2"/>
          </rPr>
          <t>Cash flow of the project and subprojects, using
blended financing if applicable. 
Used only for plot support.
(variable Cash_Flow_plt)</t>
        </r>
      </text>
    </comment>
    <comment ref="A15" authorId="0" shapeId="0">
      <text>
        <r>
          <rPr>
            <b/>
            <sz val="8"/>
            <rFont val="Arial"/>
            <family val="2"/>
          </rPr>
          <t>Discounted cash flow of the project and
subprojects, using blended financing if
applicable.
Used only for plot support.
(variable DCF_plt)</t>
        </r>
      </text>
    </comment>
    <comment ref="A20" authorId="0" shapeId="0">
      <text>
        <r>
          <rPr>
            <b/>
            <sz val="8"/>
            <rFont val="Arial"/>
            <family val="2"/>
          </rPr>
          <t>Cumulative discounted cash flow of the project and
subprojects, using blended financing if
applicable.
Used only for plot support.
(variable DCF_Cum_plt)</t>
        </r>
      </text>
    </comment>
    <comment ref="A25" authorId="0" shapeId="0">
      <text>
        <r>
          <rPr>
            <b/>
            <sz val="8"/>
            <rFont val="Arial"/>
            <family val="2"/>
          </rPr>
          <t>Earnings before interest, income taxes,
depreciation, and amortization. Computed as
revenue less operating expenses, segmented by
subproject and by time period. Covers model time,
excludes tail after model time.
Used only for plot support.
(variable EBITDA_plt)</t>
        </r>
      </text>
    </comment>
    <comment ref="A30" authorId="0" shapeId="0">
      <text>
        <r>
          <rPr>
            <b/>
            <sz val="8"/>
            <rFont val="Arial"/>
            <family val="2"/>
          </rPr>
          <t>Net income after operations expense, interest
expense, depreciation, lease costs and income tax.
Used only for plot support.
(variable Net_Income_plt)</t>
        </r>
      </text>
    </comment>
    <comment ref="A35" authorId="0" shapeId="0">
      <text>
        <r>
          <rPr>
            <b/>
            <sz val="8"/>
            <rFont val="Arial"/>
            <family val="2"/>
          </rPr>
          <t>Valuation of the investment in each time period,
as present value of total cash flow including tail
value, using blended financing if applicable
Used only for plot support.
(variable Valuation_plt)</t>
        </r>
      </text>
    </comment>
    <comment ref="B39" authorId="0" shapeId="0">
      <text>
        <r>
          <rPr>
            <b/>
            <sz val="8"/>
            <rFont val="Arial"/>
            <family val="2"/>
          </rPr>
          <t>Enumerates time periods in longer time than model
time at both ends.
(variable Time_Long_Period)</t>
        </r>
      </text>
    </comment>
    <comment ref="C39" authorId="0" shapeId="0">
      <text>
        <r>
          <rPr>
            <b/>
            <sz val="8"/>
            <rFont val="Arial"/>
            <family val="2"/>
          </rPr>
          <t>Contains start dates for time periods that can
extend outside of model time
(variable Date_Start)</t>
        </r>
      </text>
    </comment>
    <comment ref="D39" authorId="0" shapeId="0">
      <text>
        <r>
          <rPr>
            <b/>
            <sz val="8"/>
            <rFont val="Arial"/>
            <family val="2"/>
          </rPr>
          <t>Contains start dates for time periods that can
extend outside of model time
(variable Date_End)</t>
        </r>
      </text>
    </comment>
  </commentList>
</comments>
</file>

<file path=xl/comments12.xml><?xml version="1.0" encoding="utf-8"?>
<comments xmlns="http://schemas.openxmlformats.org/spreadsheetml/2006/main">
  <authors>
    <author>LOCAL SERVICE</author>
  </authors>
  <commentList>
    <comment ref="A3" authorId="0" shapeId="0">
      <text>
        <r>
          <rPr>
            <b/>
            <sz val="8"/>
            <rFont val="Arial"/>
            <family val="2"/>
          </rPr>
          <t>Percentage of depreciable investment that
determines investment tax credit, segmented by
subproject
(variable Invest_Tax_Credit_pct)</t>
        </r>
      </text>
    </comment>
    <comment ref="A8" authorId="0" shapeId="0">
      <text>
        <r>
          <rPr>
            <b/>
            <sz val="8"/>
            <rFont val="Arial"/>
            <family val="2"/>
          </rPr>
          <t>Working capital requirements as a percentage of
revenue, segmented by working capital account and
by subproject. 
Working capital is specified directly in the
first time period for each subproject. In later
time periods, working capital is set as a percent
of revenue.
(variable Working_Cap_pct_Rev)</t>
        </r>
      </text>
    </comment>
    <comment ref="A13" authorId="0" shapeId="0">
      <text>
        <r>
          <rPr>
            <b/>
            <sz val="8"/>
            <rFont val="Arial"/>
            <family val="2"/>
          </rPr>
          <t>Working capital salvage value as a percentage of
the working capital at the termination of the
project, segmented by working capital account and
by subproject
(variable Working_Cap_Residual_pct)</t>
        </r>
      </text>
    </comment>
    <comment ref="A18" authorId="0" shapeId="0">
      <text>
        <r>
          <rPr>
            <b/>
            <sz val="8"/>
            <rFont val="Arial"/>
            <family val="2"/>
          </rPr>
          <t>Sales Units in the first time period, segmented by
subproject and product
(variable Sales_Units_Initial)</t>
        </r>
      </text>
    </comment>
    <comment ref="A22" authorId="0" shapeId="0">
      <text>
        <r>
          <rPr>
            <b/>
            <sz val="8"/>
            <rFont val="Arial"/>
            <family val="2"/>
          </rPr>
          <t>Annualized growth rate of sales units in each time
period, segmented by subproject and product.
(variable Sales_Units_Growth_pct_Yr)</t>
        </r>
      </text>
    </comment>
    <comment ref="A33" authorId="0" shapeId="0">
      <text>
        <r>
          <rPr>
            <b/>
            <sz val="8"/>
            <rFont val="Arial"/>
            <family val="2"/>
          </rPr>
          <t>Counts how many time periods have passed during
the useful life of each investment. The count
starts with the first full time period after the
investment.
The rollup over investments per subproject
indicate (with 1's) the envelope of useful time
ranges of fixed investments in each subproject.
(variable Invest_Time_Phys_Period)</t>
        </r>
      </text>
    </comment>
    <comment ref="A47" authorId="0" shapeId="0">
      <text>
        <r>
          <rPr>
            <b/>
            <sz val="8"/>
            <rFont val="Arial"/>
            <family val="2"/>
          </rPr>
          <t>Physical life of the depreciable asset, expressed
in years. Values should be multiples of the time
grain. At the end of physical life, salvage value
of assets is realized, and he asset is no longer
available.
(variable Invest_Life_Phys_Period)</t>
        </r>
      </text>
    </comment>
    <comment ref="A52" authorId="0" shapeId="0">
      <text>
        <r>
          <rPr>
            <b/>
            <sz val="8"/>
            <rFont val="Arial"/>
            <family val="2"/>
          </rPr>
          <t>Annualized revenue growth rate in each time
period, segmented by subproject, and product.
(variable Sales_Units_Growth_pct)</t>
        </r>
      </text>
    </comment>
    <comment ref="A63" authorId="0" shapeId="0">
      <text>
        <r>
          <rPr>
            <b/>
            <sz val="8"/>
            <rFont val="Arial"/>
            <family val="2"/>
          </rPr>
          <t>Variable operating expense as a percent of
revenue, segmented by subproject, variable expense
account, and time period
(variable Expense_Oper_Variable_pct_Rev)</t>
        </r>
      </text>
    </comment>
    <comment ref="A77" authorId="0" shapeId="0">
      <text>
        <r>
          <rPr>
            <b/>
            <sz val="8"/>
            <rFont val="Arial"/>
            <family val="2"/>
          </rPr>
          <t>Fixed operating expense in the first time period,
segmented by subproject and product. 'Fixed' means
the expense does not vary with revenue or sales
units; it can vary with time.
(variable Expense_Oper_Fixed_Initial)</t>
        </r>
      </text>
    </comment>
    <comment ref="A82" authorId="0" shapeId="0">
      <text>
        <r>
          <rPr>
            <b/>
            <sz val="8"/>
            <rFont val="Arial"/>
            <family val="2"/>
          </rPr>
          <t>Rate of growth of fixed operating expenses in each
time period, annualized. Segmented by subproject,
product, and time period. 'Fixed' means the
expense does not vary with revenue or sales units;
it can vary with time.
(variable Expense_Oper_Fixed_Growth_pct_Yr_In)</t>
        </r>
      </text>
    </comment>
    <comment ref="A96" authorId="0" shapeId="0">
      <text>
        <r>
          <rPr>
            <b/>
            <sz val="8"/>
            <rFont val="Arial"/>
            <family val="2"/>
          </rPr>
          <t>Rate of growth of fixed operating expenses,
segmented by subproject and by time period.
'Fixed' means the expense does not vary with
revenue or sales units; it can vary with time.
(variable Expense_Oper_Fixed_Growth_pct)</t>
        </r>
      </text>
    </comment>
    <comment ref="A110" authorId="0" shapeId="0">
      <text>
        <r>
          <rPr>
            <b/>
            <sz val="8"/>
            <rFont val="Arial"/>
            <family val="2"/>
          </rPr>
          <t>The discount rate to use when the discount method
is "Direct". 
The discount rate for the first time period and
the first subproject is, by default, copied to the
later time periods and other subprojects. You can
override the default by entering a discount rate
for any time period and subproject.
(variable Discount_Rate0_Yr)</t>
        </r>
      </text>
    </comment>
    <comment ref="A115" authorId="0" shapeId="0">
      <text>
        <r>
          <rPr>
            <b/>
            <sz val="8"/>
            <rFont val="Arial"/>
            <family val="2"/>
          </rPr>
          <t>Balloon payment due at end of term for 100% debt
financing. It is reduced by the percentage of debt
financing for each asset. This payment is treated
as an additional interest payment. Segmented by
investments in each Subproject. 
(variable Debt_Balloon_Pay)</t>
        </r>
      </text>
    </comment>
    <comment ref="A120" authorId="0" shapeId="0">
      <text>
        <r>
          <rPr>
            <b/>
            <sz val="8"/>
            <rFont val="Arial"/>
            <family val="2"/>
          </rPr>
          <t>Effective annual interest rate at which lease
financing can be obtained for each subproject, by
time period. This rate is used to estimate lease
payments based on the value of assets leased. The
lease rate is assumed to be based on asset value
net of investment tax credit.
Specifying lease payments in this way enables you
to alter the value of leased assets and the lease
payment adjusts in a reasonable way. It also
enables you to compare effective financing rates
for debt and leases.
The lease rate for the first time period and the
first subproject is, by default, copied to later
time periods and other subprojects. You can
override the default by entering a discount rate
for any time period and subproject.
(variable Lease_Rate_Yr)</t>
        </r>
      </text>
    </comment>
    <comment ref="A134" authorId="0" shapeId="0">
      <text>
        <r>
          <rPr>
            <b/>
            <sz val="8"/>
            <rFont val="Arial"/>
            <family val="2"/>
          </rPr>
          <t>Balloon payment due at end of term for lease
financing. It is reduced by the percentage of
lease financing for each asset. Segmented by
investments in each Subproject. 
(variable Lease_Balloon_Pay)</t>
        </r>
      </text>
    </comment>
    <comment ref="A139" authorId="0" shapeId="0">
      <text>
        <r>
          <rPr>
            <b/>
            <sz val="8"/>
            <rFont val="Arial"/>
            <family val="2"/>
          </rPr>
          <t>Initial guess for annualized internal rate of
return on investment using weighted blend of
financing types.
The algorithm for computing IRR needs a starting
guess.
(variable IRR_Guess_Yr)</t>
        </r>
      </text>
    </comment>
    <comment ref="A144" authorId="0" shapeId="0">
      <text>
        <r>
          <rPr>
            <b/>
            <sz val="8"/>
            <rFont val="Arial"/>
            <family val="2"/>
          </rPr>
          <t>Initial guess for annualized internal rate of
return on investment, in the case of all-equity
financing. 
The algorithm for computing IRR needs a starting
guess.
(variable IRR_Guess_Yr_EquityFin)</t>
        </r>
      </text>
    </comment>
    <comment ref="A149" authorId="0" shapeId="0">
      <text>
        <r>
          <rPr>
            <b/>
            <sz val="8"/>
            <rFont val="Arial"/>
            <family val="2"/>
          </rPr>
          <t>Annualized rate at which cash flow grows in the
early phase after the end of model time
Time after model time is segmented into an early
phase and a late phase, to enable you to specify a
higher growth rate for the early segment and lower
growth for the late segment.
(variable Tail_Growth_Rate_Early_Yr)</t>
        </r>
      </text>
    </comment>
    <comment ref="A154" authorId="0" shapeId="0">
      <text>
        <r>
          <rPr>
            <b/>
            <sz val="8"/>
            <rFont val="Arial"/>
            <family val="2"/>
          </rPr>
          <t>Annualized rate at which cash flow grows in the
late phase of time after the end of model time.
This growth rate should be LESS THAN the discount
rate in the tail time.
Time after model time is segmented into an early
phase and a late phase, to enable you to specify a
higher growth rate for the early segment and lower
growth for the late segment.
(variable Tail_Growth_Rate_Late_Yr)</t>
        </r>
      </text>
    </comment>
    <comment ref="A159" authorId="0" shapeId="0">
      <text>
        <r>
          <rPr>
            <b/>
            <sz val="8"/>
            <rFont val="Arial"/>
            <family val="2"/>
          </rPr>
          <t>Maximum working capital over time, segmented by
working capital accounts, subproject, and time
period. The maximum working capital is computed
for each project separately.
(variable Working_Cap_Max)</t>
        </r>
      </text>
    </comment>
    <comment ref="A164" authorId="0" shapeId="0">
      <text>
        <r>
          <rPr>
            <b/>
            <sz val="8"/>
            <rFont val="Arial"/>
            <family val="2"/>
          </rPr>
          <t>Date on which the first fixed investment is made
(variable Invest_First_Date)</t>
        </r>
      </text>
    </comment>
    <comment ref="A168" authorId="0" shapeId="0">
      <text>
        <r>
          <rPr>
            <b/>
            <sz val="8"/>
            <rFont val="Arial"/>
            <family val="2"/>
          </rPr>
          <t>Counts how many time periods have passed during
the depreciation life of each investment. The
count starts with the first full time period after
the investment.
The rollup over investments per subproject
indicate (with 1's) the full time range of each
subproject.
(variable Invest_Time_Depr_Period)</t>
        </r>
      </text>
    </comment>
    <comment ref="A182" authorId="0" shapeId="0">
      <text>
        <r>
          <rPr>
            <b/>
            <sz val="8"/>
            <rFont val="Arial"/>
            <family val="2"/>
          </rPr>
          <t>Variable that counts how many time periods have
passed during the depreciation life of each
investment. The count starts with the first full
time period after the investment.
(variable Invest_Life_Depr_Period)</t>
        </r>
      </text>
    </comment>
    <comment ref="A187" authorId="0" shapeId="0">
      <text>
        <r>
          <rPr>
            <b/>
            <sz val="8"/>
            <rFont val="Arial"/>
            <family val="2"/>
          </rPr>
          <t>Interest rate per time period at which debt
financing can be obtained for each subproject.
(variable Borrowing_Rate)</t>
        </r>
      </text>
    </comment>
    <comment ref="A201" authorId="0" shapeId="0">
      <text>
        <r>
          <rPr>
            <b/>
            <sz val="8"/>
            <rFont val="Arial"/>
            <family val="2"/>
          </rPr>
          <t>Effective interest rate per time period at which
lease financing can be obtained for this
investment project.
(variable Lease_Rate)</t>
        </r>
      </text>
    </comment>
    <comment ref="A206" authorId="0" shapeId="0">
      <text>
        <r>
          <rPr>
            <b/>
            <sz val="8"/>
            <rFont val="Arial"/>
            <family val="2"/>
          </rPr>
          <t>Income tax expense, segmented by sub-project and
time period
(variable Income_Tax)</t>
        </r>
      </text>
    </comment>
    <comment ref="A211" authorId="0" shapeId="0">
      <text>
        <r>
          <rPr>
            <b/>
            <sz val="8"/>
            <rFont val="Arial"/>
            <family val="2"/>
          </rPr>
          <t>Investment tax credit for investment in each
subproject, for equity and debt financing
(excluding leased assets)
(variable Cash_Flow_Inv_Tax_Credit_EqFin)</t>
        </r>
      </text>
    </comment>
    <comment ref="A225" authorId="0" shapeId="0">
      <text>
        <r>
          <rPr>
            <b/>
            <sz val="8"/>
            <rFont val="Arial"/>
            <family val="2"/>
          </rPr>
          <t>Investment tax credit, segmented by subproject.
Applies only to depreciable investment. This value
assumes the company can take the entire investment
tax credit for all assets, so it uses no lease
financing.
(variable Invest_Tax_Credit_EquityFin)</t>
        </r>
      </text>
    </comment>
    <comment ref="A230" authorId="0" shapeId="0">
      <text>
        <r>
          <rPr>
            <b/>
            <sz val="8"/>
            <rFont val="Arial"/>
            <family val="2"/>
          </rPr>
          <t>Investment tax credit for investment in each
subproject, regardless of whether the company
being analyzed gets the credit. For example, if
the company being analyzed leases equipment, it
does not get the investment tax credit. 
(variable Cash_Flow_Invest_Tax_Credit)</t>
        </r>
      </text>
    </comment>
    <comment ref="A244" authorId="0" shapeId="0">
      <text>
        <r>
          <rPr>
            <b/>
            <sz val="8"/>
            <rFont val="Arial"/>
            <family val="2"/>
          </rPr>
          <t>Value of cash flows that occur after the end of
model time, discounted to the end of model time.
Based on equity financing and cash flow in the
last period of model time.
(variable Tail_Future_Value_EqFin)</t>
        </r>
      </text>
    </comment>
    <comment ref="A249" authorId="0" shapeId="0">
      <text>
        <r>
          <rPr>
            <b/>
            <sz val="8"/>
            <rFont val="Arial"/>
            <family val="2"/>
          </rPr>
          <t>Factor that multiples last value of cash flow in
model time to yield future value of cash flows
that occur in the early phase of the time after
the end of model time, discounted to the end of
model time. 
Derviation of present value:
A = First term = Last(Cash_Flow) *
(1+Tail_Growth_Rate_Early)
N = Number of terms = periods_per("year") *
Tail_Time_Early_Yr
gr = geometric factor = (1+growth) / (1+r)
Term in period n is: A * gr^(n-1), for n = 0, ...
N-1
Then sum of first N terms is: A *(1-gr^N) /
(1-gr) = A * (1+r) * (1-((1+g) / (1+r))^N) / (r-g)
As N becomes indefinitely large, this becomes A *
(1+r) / (r-g)
(variable Tail_FV_Early_Factor)</t>
        </r>
      </text>
    </comment>
    <comment ref="A254" authorId="0" shapeId="0">
      <text>
        <r>
          <rPr>
            <b/>
            <sz val="8"/>
            <rFont val="Arial"/>
            <family val="2"/>
          </rPr>
          <t>Discount rate per time period applied to cash
flows that are projected after the end model time
(variable Tail_Discount_Rate)</t>
        </r>
      </text>
    </comment>
    <comment ref="A257" authorId="0" shapeId="0">
      <text>
        <r>
          <rPr>
            <b/>
            <sz val="8"/>
            <rFont val="Arial"/>
            <family val="2"/>
          </rPr>
          <t>The rate at which cash flow grows in the early
phase after the end of model time.
Time after model time is segmented into an early
phase and a late phase, to enable you to specify a
higher growth rate for the early segment and lower
growth for the late segment.
(variable Tail_Growth_Rate_Early)</t>
        </r>
      </text>
    </comment>
    <comment ref="A262" authorId="0" shapeId="0">
      <text>
        <r>
          <rPr>
            <b/>
            <sz val="8"/>
            <rFont val="Arial"/>
            <family val="2"/>
          </rPr>
          <t>Factor that multiples last value of cash flow in
model time to yield future value of cash flows
that occur in the late phase of the time after the
end of model time, discounted to the end of model
time. 
Derviation of present value:
A = First term = Last(Cash_Flow) *
(1+Tail_Growth_Rate_Early_Yr)^Tail_Time_Early_Yr *
(1+Tail_Growth_Rate_Late)
N = Number of terms = periods_per("year") *
Tail_Time_Later_Yr
gr = geometric factor =(1+growth) / (1+r)
Term in period n is: A * gr^(n-1), for n = 0, ...
N-1
Then sum of first N terms is: A * (1-gr^N) /
(1-gr) = A * (1+r) * (1-((1+g)/(1+r))^N) / (r-g)
As N becomes indefinitely large, this becomes A *
(1+r) / (r-g)
Discounting forward from end of the early tail to
the end of model time is accomplished by a factor
1 / (1+r)^N[early]
(variable Tail_FV_Late_Factor)</t>
        </r>
      </text>
    </comment>
    <comment ref="A267" authorId="0" shapeId="0">
      <text>
        <r>
          <rPr>
            <b/>
            <sz val="8"/>
            <rFont val="Arial"/>
            <family val="2"/>
          </rPr>
          <t>The rate at which cash flow grows in the late
phase of time after the end of model time 
(variable Tail_Growth_Rate_Late)</t>
        </r>
      </text>
    </comment>
    <comment ref="A272" authorId="0" shapeId="0">
      <text>
        <r>
          <rPr>
            <b/>
            <sz val="8"/>
            <rFont val="Arial"/>
            <family val="2"/>
          </rPr>
          <t>Discount rate for computing present values of cash
flows, by time period. If discount method is
"Direct" then use specified numerical input; if
discount method is "CAPM" then use the capital
asset procing model formula for the discount rate
in terms of riskless return, beta, risk premium
and debt ratio.
(variable Discount_Rate)</t>
        </r>
      </text>
    </comment>
    <comment ref="A277" authorId="0" shapeId="0">
      <text>
        <r>
          <rPr>
            <b/>
            <sz val="8"/>
            <rFont val="Arial"/>
            <family val="2"/>
          </rPr>
          <t>The discount factor to convert a cash flow at the
end of a time period to a present value at the
start of model time
(variable Discount_Factor)</t>
        </r>
      </text>
    </comment>
    <comment ref="A280" authorId="0" shapeId="0">
      <text>
        <r>
          <rPr>
            <b/>
            <sz val="8"/>
            <rFont val="Arial"/>
            <family val="2"/>
          </rPr>
          <t>Value of cash flows from blended financing that
occur after the end of model time, discounted to
the end of model time. Based on equity financing
and cash flow in the last period of model time.
(variable Tail_Future_Value_BlendFin)</t>
        </r>
      </text>
    </comment>
    <comment ref="A285" authorId="0" shapeId="0">
      <text>
        <r>
          <rPr>
            <b/>
            <sz val="8"/>
            <rFont val="Arial"/>
            <family val="2"/>
          </rPr>
          <t>Cumulative discounted cash flow of the project and
subprojects, using blended financing if applicable
(variable DCF_Cum)</t>
        </r>
      </text>
    </comment>
  </commentList>
</comments>
</file>

<file path=xl/comments2.xml><?xml version="1.0" encoding="utf-8"?>
<comments xmlns="http://schemas.openxmlformats.org/spreadsheetml/2006/main">
  <authors>
    <author>LOCAL SERVICE</author>
  </authors>
  <commentList>
    <comment ref="A9" authorId="0" shapeId="0">
      <text>
        <r>
          <rPr>
            <b/>
            <sz val="8"/>
            <rFont val="Arial"/>
            <family val="2"/>
          </rPr>
          <t>Fixed depreciable and non-depreciable investment,
segmented by subproject, before subtracting
investment tax credit. The model assumes you must
finance only net investment.
(variable Invest_Fixed_Gross)</t>
        </r>
      </text>
    </comment>
    <comment ref="B11" authorId="0" shapeId="0">
      <text>
        <r>
          <rPr>
            <b/>
            <sz val="8"/>
            <rFont val="Arial"/>
            <family val="2"/>
          </rPr>
          <t>Investment tax credit, segmented by subproject.
Applies only to depreciable investment. Excludes
leased assets because the project does not get the
investment tax credit for these assets.
(variable Invest_Tax_Credit)</t>
        </r>
      </text>
    </comment>
    <comment ref="C11" authorId="0" shapeId="0">
      <text>
        <r>
          <rPr>
            <b/>
            <sz val="8"/>
            <rFont val="Arial"/>
            <family val="2"/>
          </rPr>
          <t>Net investment is gross investmnet less investment
tax credit, segmented by subproject. The
investment tax credit may be paid after the start
of each subproject. The model assumes you must
finance only net investment.
The effective net investment for leased assets is
assumed to be less because parties that have title
to the assets get the investment tax credit, and
this reduces leasing costs.
(variable Invest_Fixed_Net)</t>
        </r>
      </text>
    </comment>
    <comment ref="D11" authorId="0" shapeId="0">
      <text>
        <r>
          <rPr>
            <b/>
            <sz val="8"/>
            <rFont val="Arial"/>
            <family val="2"/>
          </rPr>
          <t>The initial working capital invested at the start
of each subproject, segmented by working capital
account and by subproject
(variable Working_Cap_Initial)</t>
        </r>
      </text>
    </comment>
    <comment ref="E11" authorId="0" shapeId="0">
      <text>
        <r>
          <rPr>
            <b/>
            <sz val="8"/>
            <rFont val="Arial"/>
            <family val="2"/>
          </rPr>
          <t>Initial gross investment is depreciable investment
plus non-depreciable investment plus initial
working capital. Excludes residual value of
investments. Gross investment is computed for each
subproject, but not for each investment within a
subproject. 
This amount is used to compute the principal
amounts for debt and effective principal amounts
for leases.
(variable Invest_Gross)</t>
        </r>
      </text>
    </comment>
    <comment ref="A14" authorId="0" shapeId="0">
      <text>
        <r>
          <rPr>
            <b/>
            <sz val="8"/>
            <rFont val="Arial"/>
            <family val="2"/>
          </rPr>
          <t>Maximum working capital over time, segmented by
working capital accounts, subproject, and time
period. The maximum working capital is computed
for each project separately.
(variable Working_Cap_Max)</t>
        </r>
      </text>
    </comment>
    <comment ref="B20" authorId="0" shapeId="0">
      <text>
        <r>
          <rPr>
            <b/>
            <sz val="8"/>
            <rFont val="Arial"/>
            <family val="2"/>
          </rPr>
          <t>(variable Invest_Name)</t>
        </r>
      </text>
    </comment>
    <comment ref="B34" authorId="0" shapeId="0">
      <text>
        <r>
          <rPr>
            <b/>
            <sz val="8"/>
            <rFont val="Arial"/>
            <family val="2"/>
          </rPr>
          <t>(variable Invest_Name)</t>
        </r>
      </text>
    </comment>
    <comment ref="C34" authorId="0" shapeId="0">
      <text>
        <r>
          <rPr>
            <b/>
            <sz val="8"/>
            <rFont val="Arial"/>
            <family val="2"/>
          </rPr>
          <t>Investment tax credit, segmented by subproject.
Applies only to depreciable investment. Excludes
leased assets because the project does not get the
investment tax credit for these assets.
(variable Invest_Tax_Credit)</t>
        </r>
      </text>
    </comment>
    <comment ref="D34" authorId="0" shapeId="0">
      <text>
        <r>
          <rPr>
            <b/>
            <sz val="8"/>
            <rFont val="Arial"/>
            <family val="2"/>
          </rPr>
          <t>Net investment is gross investmnet less investment
tax credit, segmented by subproject. The
investment tax credit may be paid after the start
of each subproject. The model assumes you must
finance only net investment.
The effective net investment for leased assets is
assumed to be less because parties that have title
to the assets get the investment tax credit, and
this reduces leasing costs.
(variable Invest_Fixed_Net)</t>
        </r>
      </text>
    </comment>
    <comment ref="E34" authorId="0" shapeId="0">
      <text>
        <r>
          <rPr>
            <b/>
            <sz val="8"/>
            <rFont val="Arial"/>
            <family val="2"/>
          </rPr>
          <t>The initial working capital invested at the start
of each subproject, segmented by working capital
account and by subproject
(variable Working_Cap_Initial)</t>
        </r>
      </text>
    </comment>
    <comment ref="F34" authorId="0" shapeId="0">
      <text>
        <r>
          <rPr>
            <b/>
            <sz val="8"/>
            <rFont val="Arial"/>
            <family val="2"/>
          </rPr>
          <t>Initial gross investment is depreciable investment
plus non-depreciable investment plus initial
working capital. Excludes residual value of
investments. Gross investment is computed for each
subproject, but not for each investment within a
subproject. 
This amount is used to compute the principal
amounts for debt and effective principal amounts
for leases.
(variable Invest_Gross)</t>
        </r>
      </text>
    </comment>
    <comment ref="B50" authorId="0" shapeId="0">
      <text>
        <r>
          <rPr>
            <b/>
            <sz val="8"/>
            <rFont val="Arial"/>
            <family val="2"/>
          </rPr>
          <t>(variable Invest_Name)</t>
        </r>
      </text>
    </comment>
    <comment ref="C50" authorId="0" shapeId="0">
      <text>
        <r>
          <rPr>
            <b/>
            <sz val="8"/>
            <rFont val="Arial"/>
            <family val="2"/>
          </rPr>
          <t>Date on which each fixed investment is made
(variable Invest_Date)</t>
        </r>
      </text>
    </comment>
    <comment ref="D50" authorId="0" shapeId="0">
      <text>
        <r>
          <rPr>
            <b/>
            <sz val="8"/>
            <rFont val="Arial"/>
            <family val="2"/>
          </rPr>
          <t>Depreciation life of each investment, expressed in
years. Values should be multiples of the time
grain. At the end of depreciation life,
depreciation stops. The asset remains available
for use until the end of physical life, at which
time the salvage value of the asset is realized.
(variable Invest_Life_Depr_Yr)</t>
        </r>
      </text>
    </comment>
    <comment ref="E50" authorId="0" shapeId="0">
      <text>
        <r>
          <rPr>
            <b/>
            <sz val="8"/>
            <rFont val="Arial"/>
            <family val="2"/>
          </rPr>
          <t>Depreciation method is one of "Linear" "SYD" and
"DDB".
(variable Deprec_Method)</t>
        </r>
      </text>
    </comment>
    <comment ref="F50" authorId="0" shapeId="0">
      <text>
        <r>
          <rPr>
            <b/>
            <sz val="8"/>
            <rFont val="Arial"/>
            <family val="2"/>
          </rPr>
          <t>Depreciation method used for computing taxes. It
is one of "Linear" "SYD" and "DDB".
(variable Deprec_Method_Tax)</t>
        </r>
      </text>
    </comment>
    <comment ref="G50" authorId="0" shapeId="0">
      <text>
        <r>
          <rPr>
            <b/>
            <sz val="8"/>
            <rFont val="Arial"/>
            <family val="2"/>
          </rPr>
          <t>Physical life of the depreciable asset, expressed
in years. Values should be multiples of the time
grain. At the end of physical life, salvage value
of assets is realized, and he asset is no longer
available.
(variable Invest_Life_Phys_Yr)</t>
        </r>
      </text>
    </comment>
    <comment ref="H50" authorId="0" shapeId="0">
      <text>
        <r>
          <rPr>
            <b/>
            <sz val="8"/>
            <rFont val="Arial"/>
            <family val="2"/>
          </rPr>
          <t>The residual value of depreciable investment at
the end of the project, segmented by subproject. 
The residual value of non-depreciable investments
defaults to the initial value, and you can
override this default to reflect changes in market
value of land.
(variable Invest_Fixed_Resid_Value)</t>
        </r>
      </text>
    </comment>
    <comment ref="A69"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88" authorId="0" shapeId="0">
      <text>
        <r>
          <rPr>
            <b/>
            <sz val="8"/>
            <rFont val="Arial"/>
            <family val="2"/>
          </rPr>
          <t>Weights for types of financing used to finance the
project. Segmented by financing types,
subprojects, and time period.
If you enter weights for Debt and Lease, the
template will default to a weight for Equity that
makes the weights add to 100% for each subproject.
(variable Fin_Type_Wgts)</t>
        </r>
      </text>
    </comment>
    <comment ref="A102" authorId="0" shapeId="0">
      <text>
        <r>
          <rPr>
            <b/>
            <sz val="8"/>
            <rFont val="Arial"/>
            <family val="2"/>
          </rPr>
          <t>The ratio (lease + debt financing) / (gross
investment), by time period. Used in computing
discount rate for capital asset pricing model (an
optional method for computing the discount rate).
(variable Financial_Leverage)</t>
        </r>
      </text>
    </comment>
    <comment ref="A112" authorId="0" shapeId="0">
      <text>
        <r>
          <rPr>
            <b/>
            <sz val="8"/>
            <rFont val="Arial"/>
            <family val="2"/>
          </rPr>
          <t>Book value of the investment project at the end of
each time period, equal to the book value of fixed
assets plus working capital
(variable Book_Value_End)</t>
        </r>
      </text>
    </comment>
    <comment ref="A114" authorId="0" shapeId="0">
      <text>
        <r>
          <rPr>
            <b/>
            <sz val="8"/>
            <rFont val="Arial"/>
            <family val="2"/>
          </rPr>
          <t>Average capital employed in each time period is
the average of initial and final book value for
the period. Capital consists of fixed assets and
working capital.
(variable Capital_Average)</t>
        </r>
      </text>
    </comment>
    <comment ref="A132" authorId="0" shapeId="0">
      <text>
        <r>
          <rPr>
            <b/>
            <sz val="8"/>
            <rFont val="Arial"/>
            <family val="2"/>
          </rPr>
          <t>Book value of the fixed investment at the end of
each time period, for each investment in each
subproject
(variable Book_Value_Fixed_End)</t>
        </r>
      </text>
    </comment>
    <comment ref="A146" authorId="0" shapeId="0">
      <text>
        <r>
          <rPr>
            <b/>
            <sz val="8"/>
            <rFont val="Arial"/>
            <family val="2"/>
          </rPr>
          <t>Depreciation of depreciable investment (excluding
salvage value), using specified depreciation
method, segmented by subproject and by time period
(variable Deprec_Expense_EquityFin)</t>
        </r>
      </text>
    </comment>
  </commentList>
</comments>
</file>

<file path=xl/comments3.xml><?xml version="1.0" encoding="utf-8"?>
<comments xmlns="http://schemas.openxmlformats.org/spreadsheetml/2006/main">
  <authors>
    <author>LOCAL SERVICE</author>
  </authors>
  <commentList>
    <comment ref="A8" authorId="0" shapeId="0">
      <text>
        <r>
          <rPr>
            <b/>
            <sz val="8"/>
            <rFont val="Arial"/>
            <family val="2"/>
          </rPr>
          <t>Revenue, segmented by subproject, product and time
period.
The variable computes values from a formula that
uses previous revenue and 'Revenue Growth rate'.
You can override the default values by entering
your own values.</t>
        </r>
      </text>
    </comment>
    <comment ref="A10" authorId="0" shapeId="0">
      <text>
        <r>
          <rPr>
            <b/>
            <sz val="8"/>
            <rFont val="Arial"/>
            <family val="2"/>
          </rPr>
          <t>Earnings before interest, income taxes,
depreciation, and amortization. Computed as
revenue less operating expenses, segmented by
subproject and by time period. Covers model time,
excludes tail after model time.</t>
        </r>
      </text>
    </comment>
    <comment ref="A12" authorId="0" shapeId="0">
      <text>
        <r>
          <rPr>
            <b/>
            <sz val="8"/>
            <rFont val="Arial"/>
            <family val="2"/>
          </rPr>
          <t>Depreciation of depreciable investment (excluding
salvage value), using specified depreciation
method, segmented by subproject and by time
period. Assets that are leased have no
depreciation expense in the model.
(variable Deprec_Expense)</t>
        </r>
      </text>
    </comment>
    <comment ref="A13" authorId="0" shapeId="0">
      <text>
        <r>
          <rPr>
            <b/>
            <sz val="8"/>
            <rFont val="Arial"/>
            <family val="2"/>
          </rPr>
          <t>Portion of working capital that is written off at
the end of project life. It is treated as an
amortization expense, so it is deducted from EBIT,
but not from EBITDA.
(variable Working_Cap_Amort)</t>
        </r>
      </text>
    </comment>
    <comment ref="A15" authorId="0" shapeId="0">
      <text>
        <r>
          <rPr>
            <b/>
            <sz val="8"/>
            <rFont val="Arial"/>
            <family val="2"/>
          </rPr>
          <t>Earnings before interest and taxes during model
time</t>
        </r>
      </text>
    </comment>
    <comment ref="A17" authorId="0" shapeId="0">
      <text>
        <r>
          <rPr>
            <b/>
            <sz val="8"/>
            <rFont val="Arial"/>
            <family val="2"/>
          </rPr>
          <t>Financial and tax expense, segmented by type of
expense (such as interest, lease expense, income
tax), and by sub-project and time period
(variable Fin_Tax_Exp)</t>
        </r>
      </text>
    </comment>
    <comment ref="A23" authorId="0" shapeId="0">
      <text>
        <r>
          <rPr>
            <b/>
            <sz val="8"/>
            <rFont val="Arial"/>
            <family val="2"/>
          </rPr>
          <t>Net income is EBITDA (revenue less operating
expense), less depreciation and amortization
(which yields EBIT), less interest expense, lease
costs, and income tax.
(variable Net_Income)</t>
        </r>
      </text>
    </comment>
    <comment ref="A30" authorId="0" shapeId="0">
      <text>
        <r>
          <rPr>
            <b/>
            <sz val="8"/>
            <rFont val="Arial"/>
            <family val="2"/>
          </rPr>
          <t>Revenue, segmented by subproject, product and time
period.
The variable computes values from a formula that
uses previous revenue and 'Revenue Growth rate'.
You can override the default values by entering
your own values.</t>
        </r>
      </text>
    </comment>
    <comment ref="A35" authorId="0" shapeId="0">
      <text>
        <r>
          <rPr>
            <b/>
            <sz val="8"/>
            <rFont val="Arial"/>
            <family val="2"/>
          </rPr>
          <t>Variable operating expense, segmented by
subproject, variable expense account, and time
period.
The variable computes values from a formula that
uses revenue and 'Variable Operating Expense as a
percent of revenue'. You can override the default
values by entering your own values.
(variable Expense_Oper_Variable)</t>
        </r>
      </text>
    </comment>
    <comment ref="A40" authorId="0" shapeId="0">
      <text>
        <r>
          <rPr>
            <b/>
            <sz val="8"/>
            <rFont val="Arial"/>
            <family val="2"/>
          </rPr>
          <t>Fixed operating expenses, segmented by subproject
and by time period. Fixed expense begins when the
investment is made. 'Fixed' means the expense does
not vary with revenue or sales units; it can vary
with time.
The variable computes values from a formula that
uses previous fixed expense and 'Fixed Operating
Expense Growth rate'. You can override the default
values by entering your own values.
(variable Expense_Oper_Fixed)</t>
        </r>
      </text>
    </comment>
    <comment ref="A45" authorId="0" shapeId="0">
      <text>
        <r>
          <rPr>
            <b/>
            <sz val="8"/>
            <rFont val="Arial"/>
            <family val="2"/>
          </rPr>
          <t>Earnings before interest, income taxes,
depreciation, and amortization. Computed as
revenue less operating expenses, segmented by
subproject and by time period. Covers model time,
excludes tail after model time.</t>
        </r>
      </text>
    </comment>
    <comment ref="A50" authorId="0" shapeId="0">
      <text>
        <r>
          <rPr>
            <b/>
            <sz val="8"/>
            <rFont val="Arial"/>
            <family val="2"/>
          </rPr>
          <t>Depreciation of depreciable investment (excluding
salvage value), using specified depreciation
method, segmented by subproject and by time
period. Assets that are leased have no
depreciation expense in the model.
(variable Deprec_Expense)</t>
        </r>
      </text>
    </comment>
    <comment ref="A55" authorId="0" shapeId="0">
      <text>
        <r>
          <rPr>
            <b/>
            <sz val="8"/>
            <rFont val="Arial"/>
            <family val="2"/>
          </rPr>
          <t>Portion of working capital that is written off at
the end of project life. It is treated as an
amortization expense, so it is deducted from EBIT,
but not from EBITDA.
(variable Working_Cap_Amort)</t>
        </r>
      </text>
    </comment>
    <comment ref="A60" authorId="0" shapeId="0">
      <text>
        <r>
          <rPr>
            <b/>
            <sz val="8"/>
            <rFont val="Arial"/>
            <family val="2"/>
          </rPr>
          <t>Earnings before interest and taxes during model
time</t>
        </r>
      </text>
    </comment>
    <comment ref="A65" authorId="0" shapeId="0">
      <text>
        <r>
          <rPr>
            <b/>
            <sz val="8"/>
            <rFont val="Arial"/>
            <family val="2"/>
          </rPr>
          <t>Financial and tax expense, segmented by type of
expense (such as interest, lease expense, income
tax), and by sub-project and time period
(variable Fin_Tax_Exp)</t>
        </r>
      </text>
    </comment>
    <comment ref="A83" authorId="0" shapeId="0">
      <text>
        <r>
          <rPr>
            <b/>
            <sz val="8"/>
            <rFont val="Arial"/>
            <family val="2"/>
          </rPr>
          <t>Net income is EBITDA (revenue less operating
expense), less depreciation and amortization
(which yields EBIT), less interest expense, lease
costs, and income tax.
(variable Net_Income)</t>
        </r>
      </text>
    </comment>
    <comment ref="A93" authorId="0" shapeId="0">
      <text>
        <r>
          <rPr>
            <b/>
            <sz val="8"/>
            <rFont val="Arial"/>
            <family val="2"/>
          </rPr>
          <t>Revenue, segmented by subproject, product and time
period.
The variable computes values from a formula that
uses previous revenue and 'Revenue Growth rate'.
You can override the default values by entering
your own values.</t>
        </r>
      </text>
    </comment>
    <comment ref="A104" authorId="0" shapeId="0">
      <text>
        <r>
          <rPr>
            <b/>
            <sz val="8"/>
            <rFont val="Arial"/>
            <family val="2"/>
          </rPr>
          <t>Number of units sold per time period, segmented by
subproject, product and time period. Sales for
each subproject begin in the time period after
investment and continue until the latest end of
useful life of any fixed investment.
(variable Sales_Units)</t>
        </r>
      </text>
    </comment>
    <comment ref="A115" authorId="0" shapeId="0">
      <text>
        <r>
          <rPr>
            <b/>
            <sz val="8"/>
            <rFont val="Arial"/>
            <family val="2"/>
          </rPr>
          <t>Average selling price of each unit sold, segmented
by by subproject, product, and time period
(variable Price_Average)</t>
        </r>
      </text>
    </comment>
    <comment ref="A126" authorId="0" shapeId="0">
      <text>
        <r>
          <rPr>
            <b/>
            <sz val="8"/>
            <rFont val="Arial"/>
            <family val="2"/>
          </rPr>
          <t>Revenue growth rate in each time period,
annualized. Segmented by subproject, product, and
time period
(variable Revenue_Growth_pct_Yr)</t>
        </r>
      </text>
    </comment>
    <comment ref="A142" authorId="0" shapeId="0">
      <text>
        <r>
          <rPr>
            <b/>
            <sz val="8"/>
            <rFont val="Arial"/>
            <family val="2"/>
          </rPr>
          <t>Variable operating expense, segmented by
subproject, variable expense account, and time
period.
The variable computes values from a formula that
uses revenue and 'Variable Operating Expense as a
percent of revenue'. You can override the default
values by entering your own values.
(variable Expense_Oper_Variable)</t>
        </r>
      </text>
    </comment>
    <comment ref="A156" authorId="0" shapeId="0">
      <text>
        <r>
          <rPr>
            <b/>
            <sz val="8"/>
            <rFont val="Arial"/>
            <family val="2"/>
          </rPr>
          <t>Fixed operating expenses, segmented by subproject
and by time period. Fixed expense begins when the
investment is made. 'Fixed' means the expense does
not vary with revenue or sales units; it can vary
with time.
The variable computes values from a formula that
uses previous fixed expense and 'Fixed Operating
Expense Growth rate'. You can override the default
values by entering your own values.
(variable Expense_Oper_Fixed)</t>
        </r>
      </text>
    </comment>
    <comment ref="A170" authorId="0" shapeId="0">
      <text>
        <r>
          <rPr>
            <b/>
            <sz val="8"/>
            <rFont val="Arial"/>
            <family val="2"/>
          </rPr>
          <t>Depreciation of depreciable investment (excluding
salvage value), using specified depreciation
method, segmented by subproject and by time
period. Assets that are leased have no
depreciation expense in the model.
(variable Deprec_Expense)</t>
        </r>
      </text>
    </comment>
    <comment ref="A184" authorId="0" shapeId="0">
      <text>
        <r>
          <rPr>
            <b/>
            <sz val="8"/>
            <rFont val="Arial"/>
            <family val="2"/>
          </rPr>
          <t>Portion of working capital that is written off at
the end of project life. It is treated as an
amortization expense, so it is deducted from EBIT,
but not from EBITDA.
(variable Working_Cap_Amort)</t>
        </r>
      </text>
    </comment>
  </commentList>
</comments>
</file>

<file path=xl/comments4.xml><?xml version="1.0" encoding="utf-8"?>
<comments xmlns="http://schemas.openxmlformats.org/spreadsheetml/2006/main">
  <authors>
    <author>LOCAL SERVICE</author>
  </authors>
  <commentList>
    <comment ref="A8" authorId="0" shapeId="0">
      <text>
        <r>
          <rPr>
            <b/>
            <sz val="8"/>
            <rFont val="Arial"/>
            <family val="2"/>
          </rPr>
          <t>Cash flow in the case of 100% equity financing,
during model time. Excludes tail at later times. 
(variable Cash_Flow_EquityFin)</t>
        </r>
      </text>
    </comment>
    <comment ref="A16" authorId="0" shapeId="0">
      <text>
        <r>
          <rPr>
            <b/>
            <sz val="8"/>
            <rFont val="Arial"/>
            <family val="2"/>
          </rPr>
          <t>Cash flow in the case of 100% equity financing,
during model time. Excludes tail at later times. 
(variable Cash_Flow_EquityFin)</t>
        </r>
      </text>
    </comment>
    <comment ref="A42" authorId="0" shapeId="0">
      <text>
        <r>
          <rPr>
            <b/>
            <sz val="8"/>
            <rFont val="Arial"/>
            <family val="2"/>
          </rPr>
          <t>Cash flow from fixed investment including
depreciable investment, non-depreciable
investment, and residual values. Excludes tax
credits and working capital cash flows. Assumes
equity (and/or debt) financing. Segmented by
subproject.
(variable Cash_Flow_FixInv_EquityFin)</t>
        </r>
      </text>
    </comment>
    <comment ref="A59" authorId="0" shapeId="0">
      <text>
        <r>
          <rPr>
            <b/>
            <sz val="8"/>
            <rFont val="Arial"/>
            <family val="2"/>
          </rPr>
          <t>Cash flow from fixed investment including
depreciable investment, non-depreciable
investment, and residual values. Excludes tax
credits and working capital cash flows. Assumes
equity (and/or debt) financing. Segmented by
subproject.
(variable Cash_Flow_FixInv_EquityFin)</t>
        </r>
      </text>
    </comment>
    <comment ref="A104"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109"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117"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133"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153" authorId="0" shapeId="0">
      <text>
        <r>
          <rPr>
            <b/>
            <sz val="8"/>
            <rFont val="Arial"/>
            <family val="2"/>
          </rPr>
          <t>Valuation of the investment in each time period,
as present value of cash flow including tail
value, using equity financing
(variable Valuation_EquityFin)</t>
        </r>
      </text>
    </comment>
    <comment ref="A159" authorId="0" shapeId="0">
      <text>
        <r>
          <rPr>
            <b/>
            <sz val="8"/>
            <rFont val="Arial"/>
            <family val="2"/>
          </rPr>
          <t>Net present value of discounted cash flows for the
case of 100% equity financing.
(variable NPV_EquityFin)</t>
        </r>
      </text>
    </comment>
    <comment ref="A164" authorId="0" shapeId="0">
      <text>
        <r>
          <rPr>
            <b/>
            <sz val="8"/>
            <rFont val="Arial"/>
            <family val="2"/>
          </rPr>
          <t>Present value at start of model time of cash flows
that occur after the end of model time. Cash flows
after model time are projected from cash flows
(that assume equity-only financing) in the last
period of model time and user-specified growth
rates.
(variable Tail_NPV_EqFin)</t>
        </r>
      </text>
    </comment>
    <comment ref="A172" authorId="0" shapeId="0">
      <text>
        <r>
          <rPr>
            <b/>
            <sz val="8"/>
            <rFont val="Arial"/>
            <family val="2"/>
          </rPr>
          <t>Discounted cash flow in case of 100% equity
financing, during model time. Excludes tail at
later times.
(variable DCF_EquityFin)</t>
        </r>
      </text>
    </comment>
    <comment ref="A200" authorId="0" shapeId="0">
      <text>
        <r>
          <rPr>
            <b/>
            <sz val="8"/>
            <rFont val="Arial"/>
            <family val="2"/>
          </rPr>
          <t>Annualized internal rate of return for the project
using equity financing, during model time.
Excludes cash flow in the tail after model time.
(variable IRR_Yr_EquityFin)</t>
        </r>
      </text>
    </comment>
    <comment ref="A208" authorId="0" shapeId="0">
      <text>
        <r>
          <rPr>
            <b/>
            <sz val="8"/>
            <rFont val="Arial"/>
            <family val="2"/>
          </rPr>
          <t>Discount method is one of "Direct" (you directly
specify the rate) and "CAPM" (capital asset
pricing model)
(variable Discount_Method)</t>
        </r>
      </text>
    </comment>
    <comment ref="A211" authorId="0" shapeId="0">
      <text>
        <r>
          <rPr>
            <b/>
            <sz val="8"/>
            <rFont val="Arial"/>
            <family val="2"/>
          </rPr>
          <t>Annualized discount rate for computing present
values of cash flows. If discount method is
"Direct" then use specified numerical input; if
discount method is "CAPM" then use the CAPM
formula for the discount rate in terms of riskless
return, beta, risk premium and debt ratio.
(variable Discount_Rate_Yr)</t>
        </r>
      </text>
    </comment>
    <comment ref="A218" authorId="0" shapeId="0">
      <text>
        <r>
          <rPr>
            <b/>
            <sz val="8"/>
            <rFont val="Arial"/>
            <family val="2"/>
          </rPr>
          <t>The beta parameter of the capital asset pricing
model: the correlation between return on this
investment and return on a broad market index
fund. Settable for each subproject separately.</t>
        </r>
      </text>
    </comment>
    <comment ref="A223" authorId="0" shapeId="0">
      <text>
        <r>
          <rPr>
            <b/>
            <sz val="8"/>
            <rFont val="Arial"/>
            <family val="2"/>
          </rPr>
          <t>Annual rate of return on "riskless" investments in
the capital asset pricing model. Usually
approximated as the rate of return on treasury
bills.
(variable Riskless_Rate_Yr)</t>
        </r>
      </text>
    </comment>
    <comment ref="A224" authorId="0" shapeId="0">
      <text>
        <r>
          <rPr>
            <b/>
            <sz val="8"/>
            <rFont val="Arial"/>
            <family val="2"/>
          </rPr>
          <t>Annualized risk premium in the capital asset
pricing model, by time period
(variable Risk_Premium_Yr)</t>
        </r>
      </text>
    </comment>
    <comment ref="A225" authorId="0" shapeId="0">
      <text>
        <r>
          <rPr>
            <b/>
            <sz val="8"/>
            <rFont val="Arial"/>
            <family val="2"/>
          </rPr>
          <t>Annual interest rate at which debt financing can
be obtained for each sub project, by time period.
The borrowing rate for the first time period and
the first subproject is, by default, copied to
later time periods and other subprojects. You can
override the default by entering a discount rate
for any time period and subproject.
(variable Borrowing_Rate_Yr)</t>
        </r>
      </text>
    </comment>
    <comment ref="A245" authorId="0" shapeId="0">
      <text>
        <r>
          <rPr>
            <b/>
            <sz val="8"/>
            <rFont val="Arial"/>
            <family val="2"/>
          </rPr>
          <t>Book value of the fixed investment at the start of
each time period
(variable Book_Value_Fixed_Start)</t>
        </r>
      </text>
    </comment>
    <comment ref="A259" authorId="0" shapeId="0">
      <text>
        <r>
          <rPr>
            <b/>
            <sz val="8"/>
            <rFont val="Arial"/>
            <family val="2"/>
          </rPr>
          <t>Depreciation of depreciable investment (excluding
salvage value), using specified depreciation
method, segmented by subproject and by time period
(variable Deprec_Expense_EquityFin)</t>
        </r>
      </text>
    </comment>
    <comment ref="A273"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287" authorId="0" shapeId="0">
      <text>
        <r>
          <rPr>
            <b/>
            <sz val="8"/>
            <rFont val="Arial"/>
            <family val="2"/>
          </rPr>
          <t>Book value of the investment project at the end of
each time period, equal to the book value of fixed
assets plus working capital
(variable Book_Value_End)</t>
        </r>
      </text>
    </comment>
    <comment ref="A292" authorId="0" shapeId="0">
      <text>
        <r>
          <rPr>
            <b/>
            <sz val="8"/>
            <rFont val="Arial"/>
            <family val="2"/>
          </rPr>
          <t>Average capital employed in each time period is
the average of initial and final book value for
the period. Capital consists of fixed assets and
working capital.
(variable Capital_Average)</t>
        </r>
      </text>
    </comment>
  </commentList>
</comments>
</file>

<file path=xl/comments5.xml><?xml version="1.0" encoding="utf-8"?>
<comments xmlns="http://schemas.openxmlformats.org/spreadsheetml/2006/main">
  <authors>
    <author>LOCAL SERVICE</author>
  </authors>
  <commentList>
    <comment ref="A8" authorId="0" shapeId="0">
      <text>
        <r>
          <rPr>
            <b/>
            <sz val="8"/>
            <rFont val="Arial"/>
            <family val="2"/>
          </rPr>
          <t>Cash flow in the case of 100% equity financing,
during model time. Excludes tail at later times. 
(variable Cash_Flow_EquityFin)</t>
        </r>
      </text>
    </comment>
    <comment ref="A13" authorId="0" shapeId="0">
      <text>
        <r>
          <rPr>
            <b/>
            <sz val="8"/>
            <rFont val="Arial"/>
            <family val="2"/>
          </rPr>
          <t>Cash flow in the case of 100% equity financing,
during model time. Excludes tail at later times. 
(variable Cash_Flow_EquityFin)</t>
        </r>
      </text>
    </comment>
    <comment ref="A24" authorId="0" shapeId="0">
      <text>
        <r>
          <rPr>
            <b/>
            <sz val="8"/>
            <rFont val="Arial"/>
            <family val="2"/>
          </rPr>
          <t>Cash flow from fixed investment including
depreciable investment, non-depreciable
investment, and residual values. Excludes tax
credits and working capital cash flows. Assumes
equity (and/or debt) financing. Segmented by
subproject.
(variable Cash_Flow_FixInv_EquityFin)</t>
        </r>
      </text>
    </comment>
    <comment ref="A41"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45"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55" authorId="0" shapeId="0">
      <text>
        <r>
          <rPr>
            <b/>
            <sz val="8"/>
            <rFont val="Arial"/>
            <family val="2"/>
          </rPr>
          <t>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
(variable Valuation_BlendedFin)</t>
        </r>
      </text>
    </comment>
    <comment ref="A58" authorId="0" shapeId="0">
      <text>
        <r>
          <rPr>
            <b/>
            <sz val="8"/>
            <rFont val="Arial"/>
            <family val="2"/>
          </rPr>
          <t>Net present value of discounted cash flows for the
case of 100% equity financing.
(variable NPV_EquityFin)</t>
        </r>
      </text>
    </comment>
    <comment ref="A60" authorId="0" shapeId="0">
      <text>
        <r>
          <rPr>
            <b/>
            <sz val="8"/>
            <rFont val="Arial"/>
            <family val="2"/>
          </rPr>
          <t>Present value at start of model time of cash flows
that occur after the end of model time. Cash flows
after model time are projected from cash flows
(that assume equity-only financing) in the last
period of model time and user-specified growth
rates.
(variable Tail_NPV_EqFin)</t>
        </r>
      </text>
    </comment>
    <comment ref="A65" authorId="0" shapeId="0">
      <text>
        <r>
          <rPr>
            <b/>
            <sz val="8"/>
            <rFont val="Arial"/>
            <family val="2"/>
          </rPr>
          <t>Discounted cash flow in case of 100% equity
financing, during model time. Excludes tail at
later times.
(variable DCF_EquityFin)</t>
        </r>
      </text>
    </comment>
    <comment ref="A75" authorId="0" shapeId="0">
      <text>
        <r>
          <rPr>
            <b/>
            <sz val="8"/>
            <rFont val="Arial"/>
            <family val="2"/>
          </rPr>
          <t>Average annualized return on capital during model
time (excluding the cash flow in the tail after
model time)
(variable Return_on_Cap_Avg_Yr)</t>
        </r>
      </text>
    </comment>
    <comment ref="A76" authorId="0" shapeId="0">
      <text>
        <r>
          <rPr>
            <b/>
            <sz val="8"/>
            <rFont val="Arial"/>
            <family val="2"/>
          </rPr>
          <t>Annualized internal rate of return for the project
using equity financing, during model time.
Excludes cash flow in the tail after model time.
(variable IRR_Yr_EquityFin)</t>
        </r>
      </text>
    </comment>
    <comment ref="A79" authorId="0" shapeId="0">
      <text>
        <r>
          <rPr>
            <b/>
            <sz val="8"/>
            <rFont val="Arial"/>
            <family val="2"/>
          </rPr>
          <t>Discount method is one of "Direct" (you directly
specify the rate) and "CAPM" (capital asset
pricing model)
(variable Discount_Method)</t>
        </r>
      </text>
    </comment>
    <comment ref="A81" authorId="0" shapeId="0">
      <text>
        <r>
          <rPr>
            <b/>
            <sz val="8"/>
            <rFont val="Arial"/>
            <family val="2"/>
          </rPr>
          <t>Annualized discount rate for computing present
values of cash flows. If discount method is
"Direct" then use specified numerical input; if
discount method is "CAPM" then use the CAPM
formula for the discount rate in terms of riskless
return, beta, risk premium and debt ratio.
(variable Discount_Rate_Yr)</t>
        </r>
      </text>
    </comment>
    <comment ref="A88" authorId="0" shapeId="0">
      <text>
        <r>
          <rPr>
            <b/>
            <sz val="8"/>
            <rFont val="Arial"/>
            <family val="2"/>
          </rPr>
          <t>Book value of the fixed investment at the start of
each time period
(variable Book_Value_Fixed_Start)</t>
        </r>
      </text>
    </comment>
    <comment ref="A92" authorId="0" shapeId="0">
      <text>
        <r>
          <rPr>
            <b/>
            <sz val="8"/>
            <rFont val="Arial"/>
            <family val="2"/>
          </rPr>
          <t>Depreciation of depreciable investment (excluding
salvage value), using specified depreciation
method, segmented by subproject and by time period
(variable Deprec_Expense_EquityFin)</t>
        </r>
      </text>
    </comment>
    <comment ref="A96" authorId="0" shapeId="0">
      <text>
        <r>
          <rPr>
            <b/>
            <sz val="8"/>
            <rFont val="Arial"/>
            <family val="2"/>
          </rPr>
          <t>Average capital employed in each time period is
the average of initial and final book value for
the period. Capital consists of fixed assets and
working capital.
(variable Capital_Average)</t>
        </r>
      </text>
    </comment>
  </commentList>
</comments>
</file>

<file path=xl/comments6.xml><?xml version="1.0" encoding="utf-8"?>
<comments xmlns="http://schemas.openxmlformats.org/spreadsheetml/2006/main">
  <authors>
    <author>LOCAL SERVICE</author>
  </authors>
  <commentList>
    <comment ref="A8" authorId="0" shapeId="0">
      <text>
        <r>
          <rPr>
            <b/>
            <sz val="8"/>
            <rFont val="Arial"/>
            <family val="2"/>
          </rPr>
          <t>Cash flow in the case of 100% equity financing,
during model time. Excludes tail at later times. 
(variable Cash_Flow_EquityFin)</t>
        </r>
      </text>
    </comment>
    <comment ref="A13" authorId="0" shapeId="0">
      <text>
        <r>
          <rPr>
            <b/>
            <sz val="8"/>
            <rFont val="Arial"/>
            <family val="2"/>
          </rPr>
          <t>Cash flow in the case of 100% equity financing,
during model time. Excludes tail at later times. 
(variable Cash_Flow_EquityFin)</t>
        </r>
      </text>
    </comment>
    <comment ref="A24" authorId="0" shapeId="0">
      <text>
        <r>
          <rPr>
            <b/>
            <sz val="8"/>
            <rFont val="Arial"/>
            <family val="2"/>
          </rPr>
          <t>Cash flow from fixed investment including
depreciable investment, non-depreciable
investment, and residual values. Excludes tax
credits and working capital cash flows. Assumes
equity (and/or debt) financing. Segmented by
subproject.
(variable Cash_Flow_FixInv_EquityFin)</t>
        </r>
      </text>
    </comment>
    <comment ref="A41"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45"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55" authorId="0" shapeId="0">
      <text>
        <r>
          <rPr>
            <b/>
            <sz val="8"/>
            <rFont val="Arial"/>
            <family val="2"/>
          </rPr>
          <t>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
(variable Valuation_BlendedFin)</t>
        </r>
      </text>
    </comment>
    <comment ref="A58" authorId="0" shapeId="0">
      <text>
        <r>
          <rPr>
            <b/>
            <sz val="8"/>
            <rFont val="Arial"/>
            <family val="2"/>
          </rPr>
          <t>Net present value of discounted cash flows for the
case of 100% equity financing.
(variable NPV_EquityFin)</t>
        </r>
      </text>
    </comment>
    <comment ref="A60" authorId="0" shapeId="0">
      <text>
        <r>
          <rPr>
            <b/>
            <sz val="8"/>
            <rFont val="Arial"/>
            <family val="2"/>
          </rPr>
          <t>Present value at start of model time of cash flows
that occur after the end of model time. Cash flows
after model time are projected from cash flows
(that assume equity-only financing) in the last
period of model time and user-specified growth
rates.
(variable Tail_NPV_EqFin)</t>
        </r>
      </text>
    </comment>
    <comment ref="A65" authorId="0" shapeId="0">
      <text>
        <r>
          <rPr>
            <b/>
            <sz val="8"/>
            <rFont val="Arial"/>
            <family val="2"/>
          </rPr>
          <t>Discounted cash flow in case of 100% equity
financing, during model time. Excludes tail at
later times.
(variable DCF_EquityFin)</t>
        </r>
      </text>
    </comment>
    <comment ref="A75" authorId="0" shapeId="0">
      <text>
        <r>
          <rPr>
            <b/>
            <sz val="8"/>
            <rFont val="Arial"/>
            <family val="2"/>
          </rPr>
          <t>Average annualized return on capital during model
time (excluding the cash flow in the tail after
model time)
(variable Return_on_Cap_Avg_Yr)</t>
        </r>
      </text>
    </comment>
    <comment ref="A76" authorId="0" shapeId="0">
      <text>
        <r>
          <rPr>
            <b/>
            <sz val="8"/>
            <rFont val="Arial"/>
            <family val="2"/>
          </rPr>
          <t>Annualized internal rate of return for the project
using equity financing, during model time.
Excludes cash flow in the tail after model time.
(variable IRR_Yr_EquityFin)</t>
        </r>
      </text>
    </comment>
    <comment ref="A79" authorId="0" shapeId="0">
      <text>
        <r>
          <rPr>
            <b/>
            <sz val="8"/>
            <rFont val="Arial"/>
            <family val="2"/>
          </rPr>
          <t>Discount method is one of "Direct" (you directly
specify the rate) and "CAPM" (capital asset
pricing model)
(variable Discount_Method)</t>
        </r>
      </text>
    </comment>
    <comment ref="A81" authorId="0" shapeId="0">
      <text>
        <r>
          <rPr>
            <b/>
            <sz val="8"/>
            <rFont val="Arial"/>
            <family val="2"/>
          </rPr>
          <t>Annualized discount rate for computing present
values of cash flows. If discount method is
"Direct" then use specified numerical input; if
discount method is "CAPM" then use the CAPM
formula for the discount rate in terms of riskless
return, beta, risk premium and debt ratio.
(variable Discount_Rate_Yr)</t>
        </r>
      </text>
    </comment>
    <comment ref="A88" authorId="0" shapeId="0">
      <text>
        <r>
          <rPr>
            <b/>
            <sz val="8"/>
            <rFont val="Arial"/>
            <family val="2"/>
          </rPr>
          <t>Book value of the fixed investment at the start of
each time period
(variable Book_Value_Fixed_Start)</t>
        </r>
      </text>
    </comment>
    <comment ref="A92" authorId="0" shapeId="0">
      <text>
        <r>
          <rPr>
            <b/>
            <sz val="8"/>
            <rFont val="Arial"/>
            <family val="2"/>
          </rPr>
          <t>Depreciation of depreciable investment (excluding
salvage value), using specified depreciation
method, segmented by subproject and by time period
(variable Deprec_Expense_EquityFin)</t>
        </r>
      </text>
    </comment>
    <comment ref="A96" authorId="0" shapeId="0">
      <text>
        <r>
          <rPr>
            <b/>
            <sz val="8"/>
            <rFont val="Arial"/>
            <family val="2"/>
          </rPr>
          <t>Average capital employed in each time period is
the average of initial and final book value for
the period. Capital consists of fixed assets and
working capital.
(variable Capital_Average)</t>
        </r>
      </text>
    </comment>
  </commentList>
</comments>
</file>

<file path=xl/comments7.xml><?xml version="1.0" encoding="utf-8"?>
<comments xmlns="http://schemas.openxmlformats.org/spreadsheetml/2006/main">
  <authors>
    <author>LOCAL SERVICE</author>
  </authors>
  <commentList>
    <comment ref="A8" authorId="0" shapeId="0">
      <text>
        <r>
          <rPr>
            <b/>
            <sz val="8"/>
            <rFont val="Arial"/>
            <family val="2"/>
          </rPr>
          <t>Cash flow of the project and subprojects, using
blended financing if applicable.
This is the cash flow to equity holders. The
principal components of the cash flow are +
revenue - operating expense - gross fixed
investments - working capital investments +
borrowings - loan payments - lease payments -
taxes.
(variable Cash_Flow_BlendedFin)</t>
        </r>
      </text>
    </comment>
    <comment ref="A16" authorId="0" shapeId="0">
      <text>
        <r>
          <rPr>
            <b/>
            <sz val="8"/>
            <rFont val="Arial"/>
            <family val="2"/>
          </rPr>
          <t>Cash flow of the project and subprojects, using
blended financing if applicable.
This is the cash flow to equity holders. The
principal components of the cash flow are +
revenue - operating expense - gross fixed
investments - working capital investments +
borrowings - loan payments - lease payments -
taxes.
(variable Cash_Flow_BlendedFin)</t>
        </r>
      </text>
    </comment>
    <comment ref="A51" authorId="0" shapeId="0">
      <text>
        <r>
          <rPr>
            <b/>
            <sz val="8"/>
            <rFont val="Arial"/>
            <family val="2"/>
          </rPr>
          <t>Cash flow from fixed investment including purchase
and salvage, but not depreciation or tax credits.
Includes depreciable and non-depreciable
investment. Assumes equity financing. Segmented by
subproject, investment, and time period.
(variable Cash_Flow_Fixed_Invest)</t>
        </r>
      </text>
    </comment>
    <comment ref="A68" authorId="0" shapeId="0">
      <text>
        <r>
          <rPr>
            <b/>
            <sz val="8"/>
            <rFont val="Arial"/>
            <family val="2"/>
          </rPr>
          <t>Cash flow from fixed investment including purchase
and salvage, but not depreciation or tax credits.
Includes depreciable and non-depreciable
investment. Assumes equity financing. Segmented by
subproject, investment, and time period.
(variable Cash_Flow_Fixed_Invest)</t>
        </r>
      </text>
    </comment>
    <comment ref="A113"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118"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126"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143"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165" authorId="0" shapeId="0">
      <text>
        <r>
          <rPr>
            <b/>
            <sz val="8"/>
            <rFont val="Arial"/>
            <family val="2"/>
          </rPr>
          <t>Discounted cash flow of the project and
subprojects, using blended financing
(variable DCF_BlendedFin)</t>
        </r>
      </text>
    </comment>
    <comment ref="A206" authorId="0" shapeId="0">
      <text>
        <r>
          <rPr>
            <b/>
            <sz val="8"/>
            <rFont val="Arial"/>
            <family val="2"/>
          </rPr>
          <t>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
(variable Valuation_BlendedFin)</t>
        </r>
      </text>
    </comment>
    <comment ref="A212" authorId="0" shapeId="0">
      <text>
        <r>
          <rPr>
            <b/>
            <sz val="8"/>
            <rFont val="Arial"/>
            <family val="2"/>
          </rPr>
          <t>NPV of cash flow of the project and subprojects,
using blended financing
(variable NPV_BlendedFin)</t>
        </r>
      </text>
    </comment>
    <comment ref="B217" authorId="0" shapeId="0">
      <text>
        <r>
          <rPr>
            <b/>
            <sz val="8"/>
            <rFont val="Arial"/>
            <family val="2"/>
          </rPr>
          <t>Present value at start of model time of cash flows
that occur after the end of model time. Cash flows
after model time are projected from cash flows
(that assume blending financing) in the last
period of model time and user-specified growth
rates.
(variable Tail_NPV_BlendedFin)</t>
        </r>
      </text>
    </comment>
    <comment ref="A225" authorId="0" shapeId="0">
      <text>
        <r>
          <rPr>
            <b/>
            <sz val="8"/>
            <rFont val="Arial"/>
            <family val="2"/>
          </rPr>
          <t>Average annualized return on capital during model
time (excluding the cash flow in the tail after
model time)
(variable Return_on_Cap_Avg_Yr)</t>
        </r>
      </text>
    </comment>
    <comment ref="A229" authorId="0" shapeId="0">
      <text>
        <r>
          <rPr>
            <b/>
            <sz val="8"/>
            <rFont val="Arial"/>
            <family val="2"/>
          </rPr>
          <t>Annualized internal rate of return for the project
using blended financing, during mdoel time.
Excludes cash flow in the tail after model time.
(variable IRR_Yr)</t>
        </r>
      </text>
    </comment>
    <comment ref="A236" authorId="0" shapeId="0">
      <text>
        <r>
          <rPr>
            <b/>
            <sz val="8"/>
            <rFont val="Arial"/>
            <family val="2"/>
          </rPr>
          <t>Discount method is one of "Direct" (you directly
specify the rate) and "CAPM" (capital asset
pricing model)
(variable Discount_Method)</t>
        </r>
      </text>
    </comment>
    <comment ref="A239" authorId="0" shapeId="0">
      <text>
        <r>
          <rPr>
            <b/>
            <sz val="8"/>
            <rFont val="Arial"/>
            <family val="2"/>
          </rPr>
          <t>Annualized discount rate for computing present
values of cash flows. If discount method is
"Direct" then use specified numerical input; if
discount method is "CAPM" then use the CAPM
formula for the discount rate in terms of riskless
return, beta, risk premium and debt ratio.
(variable Discount_Rate_Yr)</t>
        </r>
      </text>
    </comment>
    <comment ref="A246" authorId="0" shapeId="0">
      <text>
        <r>
          <rPr>
            <b/>
            <sz val="8"/>
            <rFont val="Arial"/>
            <family val="2"/>
          </rPr>
          <t>The beta parameter of the capital asset pricing
model: the correlation between return on this
investment and return on a broad market index
fund. Settable for each subproject separately.</t>
        </r>
      </text>
    </comment>
    <comment ref="A251" authorId="0" shapeId="0">
      <text>
        <r>
          <rPr>
            <b/>
            <sz val="8"/>
            <rFont val="Arial"/>
            <family val="2"/>
          </rPr>
          <t>Annual rate of return on "riskless" investments in
the capital asset pricing model. Usually
approximated as the rate of return on treasury
bills.
(variable Riskless_Rate_Yr)</t>
        </r>
      </text>
    </comment>
    <comment ref="A252" authorId="0" shapeId="0">
      <text>
        <r>
          <rPr>
            <b/>
            <sz val="8"/>
            <rFont val="Arial"/>
            <family val="2"/>
          </rPr>
          <t>Annualized risk premium in the capital asset
pricing model, by time period
(variable Risk_Premium_Yr)</t>
        </r>
      </text>
    </comment>
    <comment ref="A253" authorId="0" shapeId="0">
      <text>
        <r>
          <rPr>
            <b/>
            <sz val="8"/>
            <rFont val="Arial"/>
            <family val="2"/>
          </rPr>
          <t>Annual interest rate at which debt financing can
be obtained for each sub project, by time period.
The borrowing rate for the first time period and
the first subproject is, by default, copied to
later time periods and other subprojects. You can
override the default by entering a discount rate
for any time period and subproject.
(variable Borrowing_Rate_Yr)</t>
        </r>
      </text>
    </comment>
    <comment ref="A272" authorId="0" shapeId="0">
      <text>
        <r>
          <rPr>
            <b/>
            <sz val="8"/>
            <rFont val="Arial"/>
            <family val="2"/>
          </rPr>
          <t>Indicates which financing scenario is being used
in the model currently. To change to a different
scenario, enter a whole number thta represents the
scenario you want to use in the model.
(variable Financing_Scenario)</t>
        </r>
      </text>
    </comment>
    <comment ref="B274" authorId="0" shapeId="0">
      <text>
        <r>
          <rPr>
            <b/>
            <sz val="8"/>
            <rFont val="Arial"/>
            <family val="2"/>
          </rPr>
          <t>Weights for types of financing used to finance the
project. Segmented by financing types,
subprojects, and time period.
If you enter weights for Debt and Lease, the
template will default to a weight for Equity that
makes the weights add to 100% for each subproject.
(variable Fin_Type_Wgts)</t>
        </r>
      </text>
    </comment>
    <comment ref="A284" authorId="0" shapeId="0">
      <text>
        <r>
          <rPr>
            <b/>
            <sz val="8"/>
            <rFont val="Arial"/>
            <family val="2"/>
          </rPr>
          <t>The ratio (lease + debt financing) / (gross
investment), by time period. Used in computing
discount rate for capital asset pricing model (an
optional method for computing the discount rate).
(variable Financial_Leverage)</t>
        </r>
      </text>
    </comment>
    <comment ref="A292" authorId="0" shapeId="0">
      <text>
        <r>
          <rPr>
            <b/>
            <sz val="8"/>
            <rFont val="Arial"/>
            <family val="2"/>
          </rPr>
          <t>Outstanding debt principal, at the end of each
time period
(variable Debt_Principal)</t>
        </r>
      </text>
    </comment>
    <comment ref="A306" authorId="0" shapeId="0">
      <text>
        <r>
          <rPr>
            <b/>
            <sz val="8"/>
            <rFont val="Arial"/>
            <family val="2"/>
          </rPr>
          <t>Change in debt principal. Includes borrowing (+)
and principal repayments (-). Segmented by
investment and time period. Excludes payments
after the end of model time.
(variable Debt_Principal_Chg)</t>
        </r>
      </text>
    </comment>
    <comment ref="A320" authorId="0" shapeId="0">
      <text>
        <r>
          <rPr>
            <b/>
            <sz val="8"/>
            <rFont val="Arial"/>
            <family val="2"/>
          </rPr>
          <t>Interest payments for debt financing. Segmented by
investment and time period. Excludes payments
after the end of model time. A balloon payment at
the end of debt term is treated as an additional
interest payment.
(variable Debt_Interest_Pay)</t>
        </r>
      </text>
    </comment>
    <comment ref="A337" authorId="0" shapeId="0">
      <text>
        <r>
          <rPr>
            <b/>
            <sz val="8"/>
            <rFont val="Arial"/>
            <family val="2"/>
          </rPr>
          <t>Lease payments for lease financing. Segmented by
sub-project, investment, and time period. Includes
balloon payments at the end of the lease term.
Excludes cash flow in the 'tail' after the end of
model time. 
You should adjust the effective annual lease rate
to get the payment you want in the analysis. The
payment is computed as a percentage of net
investment (net of assumed investment tax credit,
which the lessor receives).
(variable Lease_Pay)</t>
        </r>
      </text>
    </comment>
  </commentList>
</comments>
</file>

<file path=xl/comments8.xml><?xml version="1.0" encoding="utf-8"?>
<comments xmlns="http://schemas.openxmlformats.org/spreadsheetml/2006/main">
  <authors>
    <author>LOCAL SERVICE</author>
  </authors>
  <commentList>
    <comment ref="A8" authorId="0" shapeId="0">
      <text>
        <r>
          <rPr>
            <b/>
            <sz val="8"/>
            <rFont val="Arial"/>
            <family val="2"/>
          </rPr>
          <t>Cash flow of the project and subprojects, using
blended financing if applicable.
This is the cash flow to equity holders. The
principal components of the cash flow are +
revenue - operating expense - gross fixed
investments - working capital investments +
borrowings - loan payments - lease payments -
taxes.
(variable Cash_Flow_BlendedFin)</t>
        </r>
      </text>
    </comment>
    <comment ref="A22" authorId="0" shapeId="0">
      <text>
        <r>
          <rPr>
            <b/>
            <sz val="8"/>
            <rFont val="Arial"/>
            <family val="2"/>
          </rPr>
          <t>Cash flow from fixed investment including purchase
and salvage, but not depreciation or tax credits.
Includes depreciable and non-depreciable
investment. Assumes equity financing. Segmented by
subproject, investment, and time period.
(variable Cash_Flow_Fixed_Invest)</t>
        </r>
      </text>
    </comment>
    <comment ref="A40"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45"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56" authorId="0" shapeId="0">
      <text>
        <r>
          <rPr>
            <b/>
            <sz val="8"/>
            <rFont val="Arial"/>
            <family val="2"/>
          </rPr>
          <t>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
(variable Valuation_BlendedFin)</t>
        </r>
      </text>
    </comment>
    <comment ref="A59" authorId="0" shapeId="0">
      <text>
        <r>
          <rPr>
            <b/>
            <sz val="8"/>
            <rFont val="Arial"/>
            <family val="2"/>
          </rPr>
          <t>NPV of cash flow of the project and subprojects,
using blended financing
(variable NPV_BlendedFin)</t>
        </r>
      </text>
    </comment>
    <comment ref="A61" authorId="0" shapeId="0">
      <text>
        <r>
          <rPr>
            <b/>
            <sz val="8"/>
            <rFont val="Arial"/>
            <family val="2"/>
          </rPr>
          <t>Present value at start of model time of cash flows
that occur after the end of model time. Cash flows
after model time are projected from cash flows
(that assume blending financing) in the last
period of model time and user-specified growth
rates.
(variable Tail_NPV_BlendedFin)</t>
        </r>
      </text>
    </comment>
    <comment ref="A66" authorId="0" shapeId="0">
      <text>
        <r>
          <rPr>
            <b/>
            <sz val="8"/>
            <rFont val="Arial"/>
            <family val="2"/>
          </rPr>
          <t>Discounted cash flow of the project and
subprojects, using blended financing
(variable DCF_BlendedFin)</t>
        </r>
      </text>
    </comment>
    <comment ref="A79" authorId="0" shapeId="0">
      <text>
        <r>
          <rPr>
            <b/>
            <sz val="8"/>
            <rFont val="Arial"/>
            <family val="2"/>
          </rPr>
          <t>Discount method is one of "Direct" (you directly
specify the rate) and "CAPM" (capital asset
pricing model)
(variable Discount_Method)</t>
        </r>
      </text>
    </comment>
    <comment ref="A81" authorId="0" shapeId="0">
      <text>
        <r>
          <rPr>
            <b/>
            <sz val="8"/>
            <rFont val="Arial"/>
            <family val="2"/>
          </rPr>
          <t>Annualized discount rate for computing present
values of cash flows. If discount method is
"Direct" then use specified numerical input; if
discount method is "CAPM" then use the CAPM
formula for the discount rate in terms of riskless
return, beta, risk premium and debt ratio.
(variable Discount_Rate_Yr)</t>
        </r>
      </text>
    </comment>
    <comment ref="A87" authorId="0" shapeId="0">
      <text>
        <r>
          <rPr>
            <b/>
            <sz val="8"/>
            <rFont val="Arial"/>
            <family val="2"/>
          </rPr>
          <t>Indicates which financing scenario is being used
in the model currently. To change to a different
scenario, enter a whole number thta represents the
scenario you want to use in the model.
(variable Financing_Scenario)</t>
        </r>
      </text>
    </comment>
    <comment ref="B89" authorId="0" shapeId="0">
      <text>
        <r>
          <rPr>
            <b/>
            <sz val="8"/>
            <rFont val="Arial"/>
            <family val="2"/>
          </rPr>
          <t>Weights for types of financing used to finance the
project. Segmented by financing types,
subprojects, and time period.
If you enter weights for Debt and Lease, the
template will default to a weight for Equity that
makes the weights add to 100% for each subproject.
(variable Fin_Type_Wgts)</t>
        </r>
      </text>
    </comment>
    <comment ref="A101" authorId="0" shapeId="0">
      <text>
        <r>
          <rPr>
            <b/>
            <sz val="8"/>
            <rFont val="Arial"/>
            <family val="2"/>
          </rPr>
          <t>Outstanding debt principal, at the end of each
time period
(variable Debt_Principal)</t>
        </r>
      </text>
    </comment>
    <comment ref="A106" authorId="0" shapeId="0">
      <text>
        <r>
          <rPr>
            <b/>
            <sz val="8"/>
            <rFont val="Arial"/>
            <family val="2"/>
          </rPr>
          <t>Change in debt principal. Includes borrowing (+)
and principal repayments (-). Segmented by
investment and time period. Excludes payments
after the end of model time.
(variable Debt_Principal_Chg)</t>
        </r>
      </text>
    </comment>
    <comment ref="A111" authorId="0" shapeId="0">
      <text>
        <r>
          <rPr>
            <b/>
            <sz val="8"/>
            <rFont val="Arial"/>
            <family val="2"/>
          </rPr>
          <t>Interest payments for debt financing. Segmented by
investment and time period. Excludes payments
after the end of model time. A balloon payment at
the end of debt term is treated as an additional
interest payment.
(variable Debt_Interest_Pay)</t>
        </r>
      </text>
    </comment>
    <comment ref="A119" authorId="0" shapeId="0">
      <text>
        <r>
          <rPr>
            <b/>
            <sz val="8"/>
            <rFont val="Arial"/>
            <family val="2"/>
          </rPr>
          <t>Lease payments for lease financing. Segmented by
sub-project, investment, and time period. Includes
balloon payments at the end of the lease term.
Excludes cash flow in the 'tail' after the end of
model time. 
You should adjust the effective annual lease rate
to get the payment you want in the analysis. The
payment is computed as a percentage of net
investment (net of assumed investment tax credit,
which the lessor receives).
(variable Lease_Pay)</t>
        </r>
      </text>
    </comment>
  </commentList>
</comments>
</file>

<file path=xl/comments9.xml><?xml version="1.0" encoding="utf-8"?>
<comments xmlns="http://schemas.openxmlformats.org/spreadsheetml/2006/main">
  <authors>
    <author>LOCAL SERVICE</author>
  </authors>
  <commentList>
    <comment ref="A8" authorId="0" shapeId="0">
      <text>
        <r>
          <rPr>
            <b/>
            <sz val="8"/>
            <rFont val="Arial"/>
            <family val="2"/>
          </rPr>
          <t>Cash flow of the project and subprojects, using
blended financing if applicable.
This is the cash flow to equity holders. The
principal components of the cash flow are +
revenue - operating expense - gross fixed
investments - working capital investments +
borrowings - loan payments - lease payments -
taxes.
(variable Cash_Flow_BlendedFin)</t>
        </r>
      </text>
    </comment>
    <comment ref="A22" authorId="0" shapeId="0">
      <text>
        <r>
          <rPr>
            <b/>
            <sz val="8"/>
            <rFont val="Arial"/>
            <family val="2"/>
          </rPr>
          <t>Cash flow from fixed investment including purchase
and salvage, but not depreciation or tax credits.
Includes depreciable and non-depreciable
investment. Assumes equity financing. Segmented by
subproject, investment, and time period.
(variable Cash_Flow_Fixed_Invest)</t>
        </r>
      </text>
    </comment>
    <comment ref="A40" authorId="0" shapeId="0">
      <text>
        <r>
          <rPr>
            <b/>
            <sz val="8"/>
            <rFont val="Arial"/>
            <family val="2"/>
          </rPr>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
(variable Cash_Flow_Work_Cap)</t>
        </r>
      </text>
    </comment>
    <comment ref="A45" authorId="0" shapeId="0">
      <text>
        <r>
          <rPr>
            <b/>
            <sz val="8"/>
            <rFont val="Arial"/>
            <family val="2"/>
          </rPr>
          <t>Working capital, segmented by working capital
account, by subproject, and by time period. 
Working capital is specified directly in the
first time period for each subproject. In later
time periods, working capital is set as a percent
of revenue.
(variable Working_Capital)</t>
        </r>
      </text>
    </comment>
    <comment ref="A56" authorId="0" shapeId="0">
      <text>
        <r>
          <rPr>
            <b/>
            <sz val="8"/>
            <rFont val="Arial"/>
            <family val="2"/>
          </rPr>
          <t>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
(variable Valuation_BlendedFin)</t>
        </r>
      </text>
    </comment>
    <comment ref="A59" authorId="0" shapeId="0">
      <text>
        <r>
          <rPr>
            <b/>
            <sz val="8"/>
            <rFont val="Arial"/>
            <family val="2"/>
          </rPr>
          <t>NPV of cash flow of the project and subprojects,
using blended financing
(variable NPV_BlendedFin)</t>
        </r>
      </text>
    </comment>
    <comment ref="A61" authorId="0" shapeId="0">
      <text>
        <r>
          <rPr>
            <b/>
            <sz val="8"/>
            <rFont val="Arial"/>
            <family val="2"/>
          </rPr>
          <t>Present value at start of model time of cash flows
that occur after the end of model time. Cash flows
after model time are projected from cash flows
(that assume blending financing) in the last
period of model time and user-specified growth
rates.
(variable Tail_NPV_BlendedFin)</t>
        </r>
      </text>
    </comment>
    <comment ref="A66" authorId="0" shapeId="0">
      <text>
        <r>
          <rPr>
            <b/>
            <sz val="8"/>
            <rFont val="Arial"/>
            <family val="2"/>
          </rPr>
          <t>Discounted cash flow of the project and
subprojects, using blended financing
(variable DCF_BlendedFin)</t>
        </r>
      </text>
    </comment>
    <comment ref="A79" authorId="0" shapeId="0">
      <text>
        <r>
          <rPr>
            <b/>
            <sz val="8"/>
            <rFont val="Arial"/>
            <family val="2"/>
          </rPr>
          <t>Discount method is one of "Direct" (you directly
specify the rate) and "CAPM" (capital asset
pricing model)
(variable Discount_Method)</t>
        </r>
      </text>
    </comment>
    <comment ref="A81" authorId="0" shapeId="0">
      <text>
        <r>
          <rPr>
            <b/>
            <sz val="8"/>
            <rFont val="Arial"/>
            <family val="2"/>
          </rPr>
          <t>Annualized discount rate for computing present
values of cash flows. If discount method is
"Direct" then use specified numerical input; if
discount method is "CAPM" then use the CAPM
formula for the discount rate in terms of riskless
return, beta, risk premium and debt ratio.
(variable Discount_Rate_Yr)</t>
        </r>
      </text>
    </comment>
    <comment ref="A87" authorId="0" shapeId="0">
      <text>
        <r>
          <rPr>
            <b/>
            <sz val="8"/>
            <rFont val="Arial"/>
            <family val="2"/>
          </rPr>
          <t>Indicates which financing scenario is being used
in the model currently. To change to a different
scenario, enter a whole number thta represents the
scenario you want to use in the model.
(variable Financing_Scenario)</t>
        </r>
      </text>
    </comment>
    <comment ref="B89" authorId="0" shapeId="0">
      <text>
        <r>
          <rPr>
            <b/>
            <sz val="8"/>
            <rFont val="Arial"/>
            <family val="2"/>
          </rPr>
          <t>Weights for types of financing used to finance the
project. Segmented by financing types,
subprojects, and time period.
If you enter weights for Debt and Lease, the
template will default to a weight for Equity that
makes the weights add to 100% for each subproject.
(variable Fin_Type_Wgts)</t>
        </r>
      </text>
    </comment>
    <comment ref="A101" authorId="0" shapeId="0">
      <text>
        <r>
          <rPr>
            <b/>
            <sz val="8"/>
            <rFont val="Arial"/>
            <family val="2"/>
          </rPr>
          <t>Outstanding debt principal, at the end of each
time period
(variable Debt_Principal)</t>
        </r>
      </text>
    </comment>
    <comment ref="A106" authorId="0" shapeId="0">
      <text>
        <r>
          <rPr>
            <b/>
            <sz val="8"/>
            <rFont val="Arial"/>
            <family val="2"/>
          </rPr>
          <t>Change in debt principal. Includes borrowing (+)
and principal repayments (-). Segmented by
investment and time period. Excludes payments
after the end of model time.
(variable Debt_Principal_Chg)</t>
        </r>
      </text>
    </comment>
    <comment ref="A111" authorId="0" shapeId="0">
      <text>
        <r>
          <rPr>
            <b/>
            <sz val="8"/>
            <rFont val="Arial"/>
            <family val="2"/>
          </rPr>
          <t>Interest payments for debt financing. Segmented by
investment and time period. Excludes payments
after the end of model time. A balloon payment at
the end of debt term is treated as an additional
interest payment.
(variable Debt_Interest_Pay)</t>
        </r>
      </text>
    </comment>
    <comment ref="A119" authorId="0" shapeId="0">
      <text>
        <r>
          <rPr>
            <b/>
            <sz val="8"/>
            <rFont val="Arial"/>
            <family val="2"/>
          </rPr>
          <t>Lease payments for lease financing. Segmented by
sub-project, investment, and time period. Includes
balloon payments at the end of the lease term.
Excludes cash flow in the 'tail' after the end of
model time. 
You should adjust the effective annual lease rate
to get the payment you want in the analysis. The
payment is computed as a percentage of net
investment (net of assumed investment tax credit,
which the lessor receives).
(variable Lease_Pay)</t>
        </r>
      </text>
    </comment>
  </commentList>
</comments>
</file>

<file path=xl/sharedStrings.xml><?xml version="1.0" encoding="utf-8"?>
<sst xmlns="http://schemas.openxmlformats.org/spreadsheetml/2006/main" count="2313" uniqueCount="1689">
  <si>
    <t>Invest_Age_Phys_Period</t>
  </si>
  <si>
    <t>Investment!Fin_Type_Wgts_FinTypes_Lease_Subprojects_Catamarans_Invest_per_Subproject</t>
  </si>
  <si>
    <t>:A:0:Invest_Fixed_Net</t>
  </si>
  <si>
    <t>Sales_Units["Subprojects.Canoes", "Products.Product_1", DATE(2012,1,1)]|=if('(Tables)'!I42=0, 0, if(and('(Tables)'!I42=1, '(Tables)'!G42=0), F51, H64*1+H64*'(Tables)'!F58))</t>
  </si>
  <si>
    <t>Lease_Rate_Yr["Subprojects.Catamarans", "Invest_per_Subproject.Invest_2", DATE(2011,7,1)]|=H177</t>
  </si>
  <si>
    <t>Investment!Fin_Type_Wgts_FinTypes_Equity_Subprojects_Canoes_Invest_per_Subproject</t>
  </si>
  <si>
    <t>Borrowing_Rate_Yr["Subprojects.Canoes", "Invest_per_Subproject.Invest_2", DATE(2011,7,1)]|=H164</t>
  </si>
  <si>
    <t>preve(prevde(0.1, "Invest_per_Subproject"))</t>
  </si>
  <si>
    <t>:A:-1:Net_Income</t>
  </si>
  <si>
    <t>-Debt_Interest_Pay</t>
  </si>
  <si>
    <t>Cash flow from fixed investment including purchase and salvage, but not depreciation or tax credits. Includes depreciable and non-depreciable investment. Assumes equity financing. Segmented by subproject, investment, and time period.</t>
  </si>
  <si>
    <t>Deprec_Expense</t>
  </si>
  <si>
    <t>Scenario 3</t>
  </si>
  <si>
    <t>Invest_Life_Phys_Yr["Subprojects.Canoes", "Invest_per_Subproject.Invest_2"]|=8</t>
  </si>
  <si>
    <t>Working capital salvage value as a percentage of the working capital at the termination of the project, segmented by working capital account and by subproject</t>
  </si>
  <si>
    <t>:A:-1:Risk_Premium_Yr</t>
  </si>
  <si>
    <t>A list of variable expense accounts</t>
  </si>
  <si>
    <t>The discount rate to use when the discount method is "Direct". 
The discount rate for the first time period and the first subproject is, by default, copied to the later time periods and other subprojects. You can override the default by entering a discount rate for any time period and subproject.</t>
  </si>
  <si>
    <t>Expense_Oper_Fixed["Subprojects.Canoes", "Fixed_Expense_Accts.Vehicles", DATE(2012,1,1)]|=if(or('(FnCalls 1)'!A11-'(FnCalls 1)'!A7&lt;=0, '(Tables)'!I42=0), 0, if(and('(Tables)'!I42=1, '(Tables)'!G42=0), F83, H104*1+H104*'(Tables)'!F104))</t>
  </si>
  <si>
    <t>:A:-1:Risk_Premium</t>
  </si>
  <si>
    <t>Borrowing_Rate_Yr["Subprojects.Catamarans", "Invest_per_Subproject.Invest_2", DATE(2012,1,1)]|=J162</t>
  </si>
  <si>
    <t>:D:2:Subprojects</t>
  </si>
  <si>
    <t>Invest Tax Credit %</t>
  </si>
  <si>
    <t>:A:0:Working_Cap_Max</t>
  </si>
  <si>
    <t>Expense_Oper_Fixed_Growth_pct_Yr_In["Subprojects.Catamarans", "Fixed_Expense_Accts.Computers", DATE(2012,10,1)]|=0</t>
  </si>
  <si>
    <t>Expense_Oper_Fixed_Growth_pct_Yr_In["Subprojects.Canoes", "Fixed_Expense_Accts.Computers", DATE(2011,7,1)]|=0</t>
  </si>
  <si>
    <t>Inputs!Fin_Type_Wgts_Sc_FinTypes_Lease_Scenarios_Fin_Scenario_3_Subprojects_Canoes_Invest_per_Subproject_Invest_2</t>
  </si>
  <si>
    <t>:A:-1:Tail_Growth_Rate_Early</t>
  </si>
  <si>
    <t>Deprec_Method</t>
  </si>
  <si>
    <t>Inputs!Fin_Type_Wgts_Sc_FinTypes_Equity_Scenarios_Fin_Scenario_2_Subprojects_Canoes_Invest_per_Subproject_Invest_1</t>
  </si>
  <si>
    <t>Discount_Rate0_Yr["Subprojects.Catamarans", DATE(2011,10,1)]|=I121</t>
  </si>
  <si>
    <t>:A:-1:Invest_Life_Depr_Yr</t>
  </si>
  <si>
    <t>preve(0, Working_Capital)-Working_Capital+if(and(Invest_Time_Phys_Period=0, preve(0, Invest_Time_Phys_Period)&gt;=1), Working_Cap_Residual_pct*preve(0, Working_Capital), 0)</t>
  </si>
  <si>
    <t>Annualized discount rate applied to cash flows that are projected after the end of model time</t>
  </si>
  <si>
    <t>:D:1:FinTypes</t>
  </si>
  <si>
    <t>Lease</t>
  </si>
  <si>
    <t>:D:0:FinTax</t>
  </si>
  <si>
    <t>Dimension Index</t>
  </si>
  <si>
    <t>:D:-1:FinTypes</t>
  </si>
  <si>
    <t>Fin_Type_Wgts_Sc["Scenarios_Fin.Scenario_3", "Subprojects.Catamarans", "Invest_per_Subproject.Invest_2", "FinTypes.Debt"]|=0</t>
  </si>
  <si>
    <t>A list of Products and Services</t>
  </si>
  <si>
    <t>:A:0:Invest_Fixed_Resid_Value</t>
  </si>
  <si>
    <t>Expense_Oper_Fixed_Growth_pct_Yr_In["Subprojects.Canoes", "Fixed_Expense_Accts.Vehicles", DATE(2011,10,1)]|=0</t>
  </si>
  <si>
    <t>(Ranges)'!Expense_Oper_Fixed_Subprojects_Canoes_Fixed_Expense_Accts_Vehicles</t>
  </si>
  <si>
    <t>:A:0:Working_Cap_pct_Rev</t>
  </si>
  <si>
    <t>(Ranges)'!DCF_Cum_Time_Period</t>
  </si>
  <si>
    <t>(Ranges)'!Expense_Oper_Variable_Subprojects_Canoes</t>
  </si>
  <si>
    <t>Tail_Growth_Rate_Late</t>
  </si>
  <si>
    <t>Cash_Flow_FixInv_EquityFin</t>
  </si>
  <si>
    <t>Variable operating expense, segmented by subproject, variable expense account, and time period.
The variable computes values from a formula that uses revenue and 'Variable Operating Expense as a percent of revenue'. You can override the default values by entering your own values.</t>
  </si>
  <si>
    <t>:A:0:Cash_Flow_Fixed_Invest</t>
  </si>
  <si>
    <t>Expense_Oper_Fixed["Subprojects.Canoes", "Fixed_Expense_Accts.Computers", DATE(2012,10,1)]|=if(or('(FnCalls 1)'!A14-'(FnCalls 1)'!A7&lt;=0, '(Tables)'!L42=0), 0, if(and('(Tables)'!L42=1, '(Tables)'!K42=0), F82, L103*1+L103*'(Tables)'!I103))</t>
  </si>
  <si>
    <t>:A:0:Invest_Life_Depr_Period</t>
  </si>
  <si>
    <t>Sales_Units["Subprojects.Canoes", "Products.Product_1", DATE(2012,7,1)]|=if('(Tables)'!K42=0, 0, if(and('(Tables)'!K42=1, '(Tables)'!J42=0), F51, K64*1+K64*'(Tables)'!H58))</t>
  </si>
  <si>
    <t>(Ranges)'!EBITDA_Subprojects_Catamarans</t>
  </si>
  <si>
    <t>Invest_Life_Phys_Yr["Subprojects.Catamarans", "Invest_per_Subproject.Invest_2"]|=8</t>
  </si>
  <si>
    <t>:D:0:Fixed_Expense_Accts.Computers</t>
  </si>
  <si>
    <t>Fin_Type_Wgts_Sc["Scenarios_Fin.Scenario_2", "Subprojects.Catamarans", "Invest_per_Subproject.Invest_2", "FinTypes.Equity"]|=1-sum(F149:G149)</t>
  </si>
  <si>
    <t>Expense_Oper_Fixed_Growth_pct_Yr_In["Subprojects.Canoes", "Fixed_Expense_Accts.Vehicles", DATE(2011,7,1)]|=0</t>
  </si>
  <si>
    <t>Investment!Fin_Type_Wgts_FinTypes_Lease</t>
  </si>
  <si>
    <t>(Ranges)'!DCF_BlendedFin_CF_Blended_Fixed_Invest_Subprojects</t>
  </si>
  <si>
    <t>Expense_Oper_Fixed_Initial["Fixed_Expense_Accts.Vehicles", "Subprojects.Catamarans"]|=0</t>
  </si>
  <si>
    <t>(Ranges)'!DCF_BlendedFin_CF_Blended_Interest_Pay</t>
  </si>
  <si>
    <t>:A:-1:Fin_Type_Wgts_Sc</t>
  </si>
  <si>
    <t>Expense_Oper_Variable_pct_Rev["Subprojects.Catamarans", "Var_Expense_Accts.Fuel", DATE(2011,7,1)]|=F76</t>
  </si>
  <si>
    <t>DCF_plt</t>
  </si>
  <si>
    <t>Subprojects, CF_Blended.EBITDA</t>
  </si>
  <si>
    <t xml:space="preserve">Balloon payment due at end of term for 100% debt financing. It is reduced by the percentage of debt financing for each asset. This payment is treated as an additional interest payment. Segmented by investments in each Subproject. </t>
  </si>
  <si>
    <t>Tail_Future_Value_BlendFin*last(Discount_Factor)</t>
  </si>
  <si>
    <t>(Ranges)'!Cash_Flow_Work_Cap_Subprojects_Canoes_Working_Cap_Accts</t>
  </si>
  <si>
    <t>EBITDA-Deprec_Expense-Working_Cap_Amort</t>
  </si>
  <si>
    <t>Expense_Oper_Variable_pct_Rev["Subprojects.Canoes", "Var_Expense_Accts.Fuel", DATE(2012,4,1)]|=J78</t>
  </si>
  <si>
    <t>:A:0:Invest_Tax_Credit_Date</t>
  </si>
  <si>
    <t>:D:0:CF_Blended.Working_Cap</t>
  </si>
  <si>
    <t>:A:0:Tail_FV_Early_Factor</t>
  </si>
  <si>
    <t>Discount_Rate0_Yr["Subprojects.Catamarans", DATE(2012,7,1)]|=M121</t>
  </si>
  <si>
    <t>:A:0:Discount_Rate_Yr</t>
  </si>
  <si>
    <t>Sales_Units["Subprojects.Catamarans", "Products.Product_1", DATE(2012,7,1)]|=if('(Tables)'!K38=0, 0, if(and('(Tables)'!K38=1, '(Tables)'!J38=0), E51, K63*1+K63*'(Tables)'!H55))</t>
  </si>
  <si>
    <t>:A:0:DCF_Cum</t>
  </si>
  <si>
    <t>(Ranges)'!Cash_Flow_plt_Subprojects</t>
  </si>
  <si>
    <t>Riskless_Rate_Yr</t>
  </si>
  <si>
    <t>Working Cap</t>
  </si>
  <si>
    <t>:D:2:Scenarios_Fin</t>
  </si>
  <si>
    <t>Date_End</t>
  </si>
  <si>
    <t>(Ranges)'!DCF_BlendedFin_CF_Blended_Debt_Principal_Subprojects_Canoes</t>
  </si>
  <si>
    <t>Cash_Flow_BlendedFin</t>
  </si>
  <si>
    <t>Expense_Oper_Fixed_Growth_pct_Yr_In["Subprojects.Canoes", "Fixed_Expense_Accts.Computers", DATE(2011,4,1)]|=0</t>
  </si>
  <si>
    <t>Value of cash flows from blended financing that occur after the end of model time, discounted to the end of model time. Based on equity financing and cash flow in the last period of model time.</t>
  </si>
  <si>
    <t>(Ranges)'!DCF_plt_Subprojects_Catamarans</t>
  </si>
  <si>
    <t>Tail_FV_Early_Factor</t>
  </si>
  <si>
    <t>Invest_Date["Subprojects.Catamarans", "Invest_per_Subproject.Invest_1"]|=date(year('(FnCalls 1)'!A7), month('(FnCalls 1)'!A7)+round(1/0.3333333333333333333333333333+(-1)/0.3333333333333333333333333333, 0), day('(FnCalls 1)'!A7)-1)</t>
  </si>
  <si>
    <t>(Ranges)'!Cash_Flow_plt_Subprojects_Canoes</t>
  </si>
  <si>
    <t>var(if(or(datediff(Invest_Tax_Credit_Date, current_date(-1))&lt;0, datediff(current_date(1), Invest_Tax_Credit_Date)&lt;0), 0, Invest_Tax_Credit))</t>
  </si>
  <si>
    <t>:A:0:Return_on_Sales_pct</t>
  </si>
  <si>
    <t>Investment!Fin_Type_Wgts_FinTypes_Debt_Subprojects_Catamarans_Invest_per_Subproject</t>
  </si>
  <si>
    <t>Variable that counts how many time periods have passed during the useful life of each investment. The count starts with the first full time period after the investment.</t>
  </si>
  <si>
    <t>periods_per("year")*sum(ranget(Net_Income, model_date(1), model_date(2)-1))/sum(ranget(Capital_Average, model_date(1), model_date(2)-1))</t>
  </si>
  <si>
    <t>Working_Cap_Residual_pct["Subprojects.Catamarans", "Working_Cap_Accts.Supplies_inventory"]|=0</t>
  </si>
  <si>
    <t>(Ranges)'!EBITDA_plt_Subprojects</t>
  </si>
  <si>
    <t>Invest_per_Subproject</t>
  </si>
  <si>
    <t>Expense_Oper_Fixed["Subprojects.Catamarans", "Fixed_Expense_Accts.Vehicles", DATE(2011,7,1)]|=if(or('(FnCalls 1)'!A9-'(FnCalls 1)'!A7&lt;=0, '(Tables)'!F38=0), 0, if(and('(Tables)'!F38=1, '(Tables)'!E38=0), E83, F102*1+F102*'(Tables)'!C100))</t>
  </si>
  <si>
    <t>:A:0:Fin_Tax_Exp</t>
  </si>
  <si>
    <t>Borrowing_Rate_Yr["Subprojects.Canoes", "Invest_per_Subproject.Invest_1", DATE(2012,4,1)]|=L163</t>
  </si>
  <si>
    <t>:D:1:Products</t>
  </si>
  <si>
    <t>Expense_Oper_Fixed["Subprojects.Canoes", "Fixed_Expense_Accts.Computers", DATE(2011,7,1)]|=if(or('(FnCalls 1)'!A9-'(FnCalls 1)'!A7&lt;=0, '(Tables)'!F42=0), 0, if(and('(Tables)'!F42=1, '(Tables)'!E42=0), F82, F103*1+F103*'(Tables)'!C103))</t>
  </si>
  <si>
    <t>Discount_Rate0</t>
  </si>
  <si>
    <t>Invest_Tax_Credit</t>
  </si>
  <si>
    <t>Expense_Oper_Variable["Subprojects.Canoes", "Var_Expense_Accts.Fuel", DATE(2012,7,1)]|='(Compute)'!I18</t>
  </si>
  <si>
    <t>:A:0:Cash_Flow_EquityFin</t>
  </si>
  <si>
    <t>:A:0:Sales_Units_Initial</t>
  </si>
  <si>
    <t>:A:-1:Lease_Balloon_Pay</t>
  </si>
  <si>
    <t>Variable that counts how many time periods have passed during the depreciation life of each investment. The count starts with the first full time period after the investment.</t>
  </si>
  <si>
    <t>Invest_Tax_Credit_pct</t>
  </si>
  <si>
    <t>:A:-1:Cash_Flow_Fixed_Invest</t>
  </si>
  <si>
    <t>Expense_Oper_Variable_pct_Rev["Subprojects.Catamarans", "Var_Expense_Accts.Maintenance", DATE(2012,7,1)]|=K77</t>
  </si>
  <si>
    <t>Sales_Units["Subprojects.Catamarans", "Products.Product_1", DATE(2011,7,1)]|=if('(Tables)'!F38=0, 0, if(and('(Tables)'!F38=1, '(Tables)'!E38=0), E51, F63*1+F63*'(Tables)'!C55))</t>
  </si>
  <si>
    <t>Lease payments for lease financing. Segmented by sub-project, investment, and time period. Includes balloon payments at the end of the lease term. Excludes cash flow in the 'tail' after the end of model time. 
You should adjust the effective annual lease rate to get the payment you want in the analysis. The payment is computed as a percentage of net investment (net of assumed investment tax credit, which the lessor receives).</t>
  </si>
  <si>
    <t>Cash_Flow_EquityFin*Discount_Factor</t>
  </si>
  <si>
    <t>A list of the components of cash flow for all forms of financing (equity, debt and leases).</t>
  </si>
  <si>
    <t>Total As</t>
  </si>
  <si>
    <t>minr(ranged("Invest_per_SubProject", Invest_Date))</t>
  </si>
  <si>
    <t>Computers</t>
  </si>
  <si>
    <t>:A:-1:EBITDA</t>
  </si>
  <si>
    <t>Expense_Oper_Fixed_Growth_pct_Yr_In["Subprojects.Canoes", "Fixed_Expense_Accts.Computers", DATE(2011,10,1)]|=0</t>
  </si>
  <si>
    <t>Lease_Rate_Yr["Subprojects.Catamarans", "Invest_per_Subproject.Invest_2", DATE(2011,4,1)]|=G177</t>
  </si>
  <si>
    <t>:A:0:Tail_Discount_Rate</t>
  </si>
  <si>
    <t>Expense_Oper_Variable_pct_Rev["Subprojects.Catamarans", "Var_Expense_Accts.Maintenance", DATE(2011,4,1)]|=E77</t>
  </si>
  <si>
    <t>:D:0:FinTypes.Lease</t>
  </si>
  <si>
    <t>Discount_Rate0_Yr</t>
  </si>
  <si>
    <t>Investment!Fin_Type_Wgts_FinTypes_Lease_Subprojects_Canoes_Invest_per_Subproject</t>
  </si>
  <si>
    <t>Borrowing_Rate_Yr["Subprojects.Catamarans", "Invest_per_Subproject.Invest_1", DATE(2011,1,1)]|=E161</t>
  </si>
  <si>
    <t>Expense_Oper_Variable_pct_Rev["Subprojects.Canoes", "Var_Expense_Accts.Fuel", DATE(2012,10,1)]|=L78</t>
  </si>
  <si>
    <t>preve(0, Book_Value_Fixed_End)</t>
  </si>
  <si>
    <t>Revenue["Subprojects.Catamarans", "Products.Product_1", DATE(2011,10,1)]|=H57*H63</t>
  </si>
  <si>
    <t>Valuation</t>
  </si>
  <si>
    <t>Expense_Oper_Fixed_Growth_pct_Yr_In["Subprojects.Catamarans", "Fixed_Expense_Accts.Computers", DATE(2011,4,1)]|=0</t>
  </si>
  <si>
    <t>Working capital requirements as a percentage of revenue, segmented by working capital account and by subproject. 
Working capital is specified directly in the first time period for each subproject. In later time periods, working capital is set as a percent of revenue.</t>
  </si>
  <si>
    <t>var((Fin_Type_Wgts["FinTypes.Equity"]+Fin_Type_Wgts["FinTypes.Debt"])*(if(and(datediff(current_date(-1), Invest_Date)&lt;=0, datediff(Invest_Date, current_date(1))&lt;=0), -Invest_Fixed_Gross, 0)+if(and(datediff(index(ranget(Date_Start), max(1, Time_Long_Period-Invest_Life_Depr_Period)), Invest_Date)&lt;=0, datediff(Invest_Date, index(ranget(Date_End), max(1, Time_Long_Period-Invest_Life_Depr_Period)))&lt;=0), Invest_Fixed_Resid_Value, 0)))</t>
  </si>
  <si>
    <t>Depreciation life of each investment, expressed in years. Values should be multiples of the time grain. At the end of depreciation life, depreciation stops. The asset remains available for use until the end of physical life, at which time the salvage value of the asset is realized.</t>
  </si>
  <si>
    <t>Depreciation of depreciable investment (excluding salvage value), using specified depreciation method, segmented by subproject and by time period</t>
  </si>
  <si>
    <t>(Ranges)'!Book_Value_End_Subprojects</t>
  </si>
  <si>
    <t>Invest_Fixed_Gross["Invest_Fixed.Depreciable", "Subprojects.Canoes", "Invest_per_Subproject.Invest_2"]|=0</t>
  </si>
  <si>
    <t>IRR_Guess_Yr_EquityFin["Subprojects.Catamarans"]|=0</t>
  </si>
  <si>
    <t>Working Capital</t>
  </si>
  <si>
    <t>:A:0:Income_Tax_Rate</t>
  </si>
  <si>
    <t>Maximum working capital over time, segmented by working capital accounts, subproject, and time period. The maximum working capital is computed for each project separately.</t>
  </si>
  <si>
    <t>:D:2:Invest_Fixed.Depreciable</t>
  </si>
  <si>
    <t>Income_Tax_Rate[DATE(2012,7,1)]|=M108</t>
  </si>
  <si>
    <t>:D:2:Subprojects.Catamarans</t>
  </si>
  <si>
    <t>Subprojects, Invest_Fixed, Invest_per_Subproject</t>
  </si>
  <si>
    <t xml:space="preserve">Balloon payment due at end of term for lease financing. It is reduced by the percentage of lease financing for each asset. Segmented by investments in each Subproject. </t>
  </si>
  <si>
    <t>:A:0:Tail_NPV_EqFin</t>
  </si>
  <si>
    <t>:D:2:Invest_per_Subproject</t>
  </si>
  <si>
    <t>Product 1</t>
  </si>
  <si>
    <t>Expense_Oper_Variable["Subprojects.Canoes", "Var_Expense_Accts.Maintenance", DATE(2011,7,1)]|='(Compute)'!D21</t>
  </si>
  <si>
    <t>(Ranges)'!Expense_Oper_Variable_Subprojects</t>
  </si>
  <si>
    <t>:A:0:Date_Start</t>
  </si>
  <si>
    <t>Lease_Rate_Yr["Subprojects.Catamarans", "Invest_per_Subproject.Invest_2", DATE(2010,10,1)]|=0</t>
  </si>
  <si>
    <t>Time_Long_Period</t>
  </si>
  <si>
    <t>(Ranges)'!Capital_Average_Time_Period</t>
  </si>
  <si>
    <t>(Ranges)'!Expense_Oper_Variable_Time_Period</t>
  </si>
  <si>
    <t>Inputs!Fin_Type_Wgts_Sc_FinTypes_Equity_Scenarios_Fin_Scenario_1_Subprojects_Canoes_Invest_per_Subproject_Invest_1</t>
  </si>
  <si>
    <t>Counts how many time periods have passed during the depreciation life of each investment. The count starts with the first full time period after the investment.
The rollup over investments per subproject indicate (with 1's) the full time range of each subproject.</t>
  </si>
  <si>
    <t>:A:0:Return_on_Cap_Avg_Yr</t>
  </si>
  <si>
    <t>Company Name</t>
  </si>
  <si>
    <t>Expense_Oper_Fixed_Growth_pct_Yr_In["Subprojects.Catamarans", "Fixed_Expense_Accts.Vehicles", DATE(2011,4,1)]|=0</t>
  </si>
  <si>
    <t>Max Working Capital</t>
  </si>
  <si>
    <t>The ratio (lease + debt financing) / (gross investment), by time period. Used in computing discount rate for capital asset pricing model (an optional method for computing the discount rate).</t>
  </si>
  <si>
    <t>:A:0:Deprec_Expense_EquityFin</t>
  </si>
  <si>
    <t>Sales Units in the first time period, segmented by subproject and product</t>
  </si>
  <si>
    <t>(Ranges)'!Book_Value_End_plt_Subprojects_Catamarans</t>
  </si>
  <si>
    <t>(Ranges)'!Capital_Average_Subprojects</t>
  </si>
  <si>
    <t>Leasing Rate</t>
  </si>
  <si>
    <t>Invest_Fixed.Depreciable, Subprojects, Invest_per_Subproject</t>
  </si>
  <si>
    <t>Deprec Method</t>
  </si>
  <si>
    <t>Invest_Tax_Credit_Date["Subprojects.Canoes", "Invest_per_Subproject.Invest_1"]|=F19</t>
  </si>
  <si>
    <t>Borrowing Rate (Yr)</t>
  </si>
  <si>
    <t>:A:-1:Working_Cap_Amort</t>
  </si>
  <si>
    <t>Annualized rate at which cash flow grows in the early phase after the end of model time
Time after model time is segmented into an early phase and a late phase, to enable you to specify a higher growth rate for the early segment and lower growth for the late segment.</t>
  </si>
  <si>
    <t>Inputs!Fin_Type_Wgts_Sc_FinTypes_Equity_Scenarios_Fin_Scenario_2_Subprojects_Catamarans_Invest_per_Subproject_Invest_2</t>
  </si>
  <si>
    <t>Inputs!Fin_Type_Wgts_Sc_FinTypes_Debt_Scenarios_Fin_Scenario_2_Subprojects_Catamarans_Invest_per_Subproject_Invest_1</t>
  </si>
  <si>
    <t>DCF</t>
  </si>
  <si>
    <t>(Ranges)'!DCF_BlendedFin_CF_Blended</t>
  </si>
  <si>
    <t>Inputs!Fin_Type_Wgts_Sc_FinTypes_Lease_Scenarios_Fin_Scenario_3_Subprojects_Catamarans_Invest_per_Subproject_Invest_2</t>
  </si>
  <si>
    <t>Sales_Units["Subprojects.Catamarans", "Products.Product_1", DATE(2012,10,1)]|=if('(Tables)'!L38=0, 0, if(and('(Tables)'!L38=1, '(Tables)'!K38=0), E51, L63*1+L63*'(Tables)'!I55))</t>
  </si>
  <si>
    <t>Depreciation</t>
  </si>
  <si>
    <t>Direct</t>
  </si>
  <si>
    <t>rollup("FinTypes", rollup(sum), "Scenarios_Fin", norollup(),  ,  )</t>
  </si>
  <si>
    <t>:A:0:Discount_Rate0</t>
  </si>
  <si>
    <t>Subprojects, CF_Blended</t>
  </si>
  <si>
    <t>Lease_Rate_Yr["Subprojects.Catamarans", "Invest_per_Subproject.Invest_2", DATE(2011,10,1)]|=I177</t>
  </si>
  <si>
    <t>Borrowing_Rate_Yr["Subprojects.Catamarans", "Invest_per_Subproject.Invest_1", DATE(2011,4,1)]|=G161</t>
  </si>
  <si>
    <t>Display Item As</t>
  </si>
  <si>
    <t>Discount Rate Default</t>
  </si>
  <si>
    <t>:A:0:Working_Capital</t>
  </si>
  <si>
    <t>Expense_Oper_Variable["Subprojects.Catamarans", "Var_Expense_Accts.Fuel", DATE(2012,1,1)]|='(Compute)'!G8</t>
  </si>
  <si>
    <t>Inputs!Fin_Type_Wgts_Sc_FinTypes_Equity_Scenarios_Fin_Scenario_3_Subprojects_Canoes_Invest_per_Subproject_Invest_2</t>
  </si>
  <si>
    <t>Inputs!Fin_Type_Wgts_Sc_FinTypes_Lease_Scenarios_Fin_Scenario_1_Subprojects_Catamarans_Invest_per_Subproject_Invest_2</t>
  </si>
  <si>
    <t>Sales_Units_Growth_pct_Yr["Subprojects.Catamarans", "Products.Product_1", DATE(2012,4,1)]|=J54</t>
  </si>
  <si>
    <t>(Ranges)'!Book_Value_End_plt_Subprojects</t>
  </si>
  <si>
    <t>The initial working capital invested at the start of each subproject, segmented by working capital account and by subproject</t>
  </si>
  <si>
    <t>Sales_Units_Growth_pct_Yr["Subprojects.Catamarans", "Products.Product_1", DATE(2012,10,1)]|=L54</t>
  </si>
  <si>
    <t>Risk_Premium_Yr</t>
  </si>
  <si>
    <t>Invest Fixed</t>
  </si>
  <si>
    <t>Invest_Fixed_Gross["Invest_Fixed.Non_Deprec", "Subprojects.Canoes", "Invest_per_Subproject.Invest_1"]|=0</t>
  </si>
  <si>
    <t>Expense_Oper_Fixed_Growth_pct_Yr_In["Subprojects.Canoes", "Fixed_Expense_Accts.Computers", DATE(2012,10,1)]|=0</t>
  </si>
  <si>
    <t>Invest_Fixed_Gross</t>
  </si>
  <si>
    <t>:D:2:Fixed_Expense_Accts.Computers</t>
  </si>
  <si>
    <t>Invest_Time_Phys_Period</t>
  </si>
  <si>
    <t>Expense_Oper_Variable["Subprojects.Canoes", "Var_Expense_Accts.Maintenance", DATE(2012,1,1)]|='(Compute)'!G21</t>
  </si>
  <si>
    <t>Expense_Oper_Fixed["Subprojects.Catamarans", "Fixed_Expense_Accts.Vehicles", DATE(2011,10,1)]|=if(or('(FnCalls 1)'!A10-'(FnCalls 1)'!A7&lt;=0, '(Tables)'!G38=0), 0, if(and('(Tables)'!G38=1, '(Tables)'!F38=0), E83, G102*1+G102*'(Tables)'!D100))</t>
  </si>
  <si>
    <t>Expense_Accts</t>
  </si>
  <si>
    <t>Roll-up:</t>
  </si>
  <si>
    <t>Risk_Premium_Yr[DATE(2012,7,1)]|=M132</t>
  </si>
  <si>
    <t>(Ranges)'!Book_Value_Fixed_End_Subprojects_Canoes_Invest_per_Subproject_Invest_2</t>
  </si>
  <si>
    <t>Expense_Oper_Variable["Subprojects.Canoes", "Var_Expense_Accts.Fuel", DATE(2012,1,1)]|='(Compute)'!G18</t>
  </si>
  <si>
    <t>:A:-1:Discount_Method</t>
  </si>
  <si>
    <t>Company_Name[]|</t>
  </si>
  <si>
    <t>:A:-1:Cash_Flow_FixInv_EquityFin</t>
  </si>
  <si>
    <t>Expense_Oper_Fixed["Subprojects.Canoes", "Fixed_Expense_Accts.Vehicles", DATE(2011,1,1)]|=if(or('(FnCalls 1)'!A7-'(FnCalls 1)'!A7&lt;=0, '(Tables)'!D42=0), 0, if(and('(Tables)'!D42=1, '(Tables)'!B42=0), F83, 0*1+0*0))</t>
  </si>
  <si>
    <t>First Investment Date</t>
  </si>
  <si>
    <t>Borrowing_Rate_Yr</t>
  </si>
  <si>
    <t>Weights for types of financing used to finance the project. Segmented by financing types, subprojects, and time period. This variable is used in models that have financing scenarios.
If you enter weights for Debt and Lease, the template will default to a weight for Equity that makes the weights add to 100% for each subproject.</t>
  </si>
  <si>
    <t>Revenue</t>
  </si>
  <si>
    <t>:A:0:Riskless_Rate</t>
  </si>
  <si>
    <t>(Ranges)'!Expense_Oper_Fixed_Subprojects_Catamarans_Fixed_Expense_Accts</t>
  </si>
  <si>
    <t>:D:0:Invest_Fixed</t>
  </si>
  <si>
    <t>Investment tax credit, segmented by subproject. Applies only to depreciable investment. This value assumes the company can take the entire investment tax credit for all assets, so it uses no lease financing.</t>
  </si>
  <si>
    <t>Expense_Oper_Fixed["Subprojects.Catamarans", "Fixed_Expense_Accts.Vehicles", DATE(2012,7,1)]|=if(or('(FnCalls 1)'!A13-'(FnCalls 1)'!A7&lt;=0, '(Tables)'!K38=0), 0, if(and('(Tables)'!K38=1, '(Tables)'!J38=0), E83, K102*1+K102*'(Tables)'!H100))</t>
  </si>
  <si>
    <t>(Ranges)'!Revenue_Subprojects_Catamarans_Products_Product_1</t>
  </si>
  <si>
    <t>:A:-1:Valuation_EquityFin</t>
  </si>
  <si>
    <t>Expense_Oper_Variable_pct_Rev["Subprojects.Catamarans", "Var_Expense_Accts.Fuel", DATE(2011,10,1)]|=G76</t>
  </si>
  <si>
    <t>:A:-1:Price_Average</t>
  </si>
  <si>
    <t>Revenue["Subprojects.Canoes", "Products.Product_1", DATE(2012,4,1)]|=K58*K64</t>
  </si>
  <si>
    <t>Sales_Units_Growth_pct_Yr["Subprojects.Canoes", "Products.Product_1", DATE(2012,1,1)]|=H55</t>
  </si>
  <si>
    <t>Expense_Oper_Variable["Subprojects.Catamarans", "Var_Expense_Accts.Maintenance", DATE(2011,4,1)]|='(Compute)'!C11</t>
  </si>
  <si>
    <t>Discount Rate</t>
  </si>
  <si>
    <t>(Ranges)'!DCF_BlendedFin_CF_Blended_Income_Tax</t>
  </si>
  <si>
    <t>Inputs!Fin_Type_Wgts_Sc_FinTypes_Debt_Scenarios_Fin_Scenario_1_Subprojects_Canoes_Invest_per_Subproject_Invest_1</t>
  </si>
  <si>
    <t>(Ranges)'!EBITDA_plt_Date</t>
  </si>
  <si>
    <t xml:space="preserve">  Interest</t>
  </si>
  <si>
    <t>:A:0:Cash_Flow_plt</t>
  </si>
  <si>
    <t>ifm(current_date(1)&lt;model_date(1), 0, EBITDA)</t>
  </si>
  <si>
    <t>:A:0:Risk_Premium_Yr</t>
  </si>
  <si>
    <t>(Ranges)'!Book_Value_Fixed_End_Subprojects</t>
  </si>
  <si>
    <t>Revenue["Subprojects.Catamarans", "Products.Product_1", DATE(2011,4,1)]|=F57*F63</t>
  </si>
  <si>
    <t>:D:0:Invest_per_Subproject</t>
  </si>
  <si>
    <t>Invest_Life_Phys_Yr</t>
  </si>
  <si>
    <t>(Ranges)'!DCF_BlendedFin_CF_Blended_Debt_Principal</t>
  </si>
  <si>
    <t>(Ranges)'!Valuation_plt_Subprojects_Catamarans</t>
  </si>
  <si>
    <t>:A:-1:Financing_Scenario</t>
  </si>
  <si>
    <t>(Ranges)'!Valuation_EquityFin_Date</t>
  </si>
  <si>
    <t>Investment!Fin_Type_Wgts_FinTypes_Equity_Subprojects_Canoes_Invest_per_Subproject_Invest_1</t>
  </si>
  <si>
    <t>Borrowing_Rate_Yr["Subprojects.Canoes", "Invest_per_Subproject.Invest_1", DATE(2012,10,1)]|=N163</t>
  </si>
  <si>
    <t>Fin_Type_Wgts_Sc["Scenarios_Fin.Scenario_2", "Subprojects.Catamarans", "Invest_per_Subproject.Invest_2", "FinTypes.Lease"]|=0</t>
  </si>
  <si>
    <t>:A:-1:Debt_Principal</t>
  </si>
  <si>
    <t>(1+Sales_Units_Growth_pct_Yr)^(1/periods_per("year"))-1</t>
  </si>
  <si>
    <t>EBITDA_plt</t>
  </si>
  <si>
    <t>(Ranges)'!Cash_Flow_Work_Cap_Subprojects_Catamarans_Working_Cap_Accts</t>
  </si>
  <si>
    <t>Expense_Oper_Fixed_Growth_pct_Yr_In["Subprojects.Catamarans", "Fixed_Expense_Accts.Computers", DATE(2012,7,1)]|=0</t>
  </si>
  <si>
    <t>IRR_Yr</t>
  </si>
  <si>
    <t>Investment!Fin_Type_Wgts_FinTypes_Lease_Subprojects_Canoes</t>
  </si>
  <si>
    <t>:A:0:Debt_Balloon_Pay</t>
  </si>
  <si>
    <t>Depreciation method is one of "Linear" "SYD" and "DDB".</t>
  </si>
  <si>
    <t>:A:-1:Debt_Balloon_Pay</t>
  </si>
  <si>
    <t>:D:-1:CF_Blended</t>
  </si>
  <si>
    <t>(Ranges)'!EBIT_Subprojects</t>
  </si>
  <si>
    <t>(Ranges)'!DCF_BlendedFin_CF_Blended_Working_Cap_Subprojects_Catamarans</t>
  </si>
  <si>
    <t>Subprojects, CF_Equity_Fin.Income_Tax</t>
  </si>
  <si>
    <t>(Ranges)'!DCF_BlendedFin_CF_Blended_EBITDA_Subprojects</t>
  </si>
  <si>
    <t>Earnings before interest and taxes during model time</t>
  </si>
  <si>
    <t>Expense_Oper_Fixed_Growth_pct_Yr_In["Subprojects.Catamarans", "Fixed_Expense_Accts.Computers", DATE(2012,1,1)]|=0</t>
  </si>
  <si>
    <t>Fin_Type_Wgts_Sc["Scenarios_Fin.Scenario_3", "Subprojects.Catamarans", "Invest_per_Subproject.Invest_2", "FinTypes.Lease"]|=0</t>
  </si>
  <si>
    <t>:D:-1:Invest_Fixed</t>
  </si>
  <si>
    <t>Company_Name</t>
  </si>
  <si>
    <t>Sales_Units["Subprojects.Canoes", "Products.Product_1", DATE(2011,1,1)]|=if('(Tables)'!D42=0, 0, if(and('(Tables)'!D42=1, '(Tables)'!B42=0), F51, 0*1+0*0))</t>
  </si>
  <si>
    <t>(Ranges)'!Valuation_BlendedFin_Subprojects_Canoes</t>
  </si>
  <si>
    <t>Income tax expense, segmented by sub-project and time period</t>
  </si>
  <si>
    <t>(Ranges)'!Valuation_BlendedFin_Time_Period</t>
  </si>
  <si>
    <t>Fin_Type_Wgts_Sc["Scenarios_Fin.Scenario_1", "Subprojects.Catamarans", "Invest_per_Subproject.Invest_2", "FinTypes.Lease"]|=0</t>
  </si>
  <si>
    <t>IRR_Guess_Yr_EquityFin["Subprojects.Canoes"]|=0</t>
  </si>
  <si>
    <t>:A:0:Deprec_Method</t>
  </si>
  <si>
    <t>Fin_Vehicles</t>
  </si>
  <si>
    <t>IRR Initial Guess (Yr)</t>
  </si>
  <si>
    <t>Sales_Units_Growth_pct</t>
  </si>
  <si>
    <t>Borrowing_Rate_Yr["Subprojects.Catamarans", "Invest_per_Subproject.Invest_1", DATE(2011,7,1)]|=H161</t>
  </si>
  <si>
    <t>(Ranges)'!DCF_Cum_plt_Subprojects_Catamarans</t>
  </si>
  <si>
    <t>Investment!Fin_Type_Wgts_FinTypes_Equity_Subprojects_Canoes</t>
  </si>
  <si>
    <t>Revenue["Subprojects.Catamarans", "Products.Product_1", DATE(2012,4,1)]|=K57*K63</t>
  </si>
  <si>
    <t>(Ranges)'!Cash_Flow_plt_Time_Period</t>
  </si>
  <si>
    <t>Annualized discount rate for computing present values of cash flows. If discount method is "Direct" then use specified numerical input; if discount method is "CAPM" then use the CAPM formula for the discount rate in terms of riskless return, beta, risk premium and debt ratio.</t>
  </si>
  <si>
    <t>:A:0:Risk_Premium</t>
  </si>
  <si>
    <t>Expense_Oper_Fixed["Subprojects.Canoes", "Fixed_Expense_Accts.Vehicles", DATE(2011,4,1)]|=if(or('(FnCalls 1)'!A8-'(FnCalls 1)'!A7&lt;=0, '(Tables)'!E42=0), 0, if(and('(Tables)'!E42=1, '(Tables)'!D42=0), F83, E104*1+E104*'(Tables)'!B104))</t>
  </si>
  <si>
    <t>DCF_EquityFin</t>
  </si>
  <si>
    <t>Invest_Fixed_Gross["Invest_Fixed.Non_Deprec", "Subprojects.Canoes", "Invest_per_Subproject.Invest_2"]|=0</t>
  </si>
  <si>
    <t>FinTax.Interest, Subprojects</t>
  </si>
  <si>
    <t>:D:0:Subprojects.Canoes</t>
  </si>
  <si>
    <t>Non-Deprec</t>
  </si>
  <si>
    <t>:A:-1:Expense_Oper_Variable</t>
  </si>
  <si>
    <t>Deprec_Method["Subprojects.Catamarans", "Invest_per_Subproject.Invest_1"]|="Linear"</t>
  </si>
  <si>
    <t>:A:-1:Discount_Rate</t>
  </si>
  <si>
    <t>Expense_Oper_Variable_pct_Rev["Subprojects.Catamarans", "Var_Expense_Accts.Fuel", DATE(2012,1,1)]|=H76</t>
  </si>
  <si>
    <t>var((1+Discount_Rate0_Yr)^(1/periods_per("year"))-1)</t>
  </si>
  <si>
    <t>(Ranges)'!EBITDA_Subprojects_Canoes</t>
  </si>
  <si>
    <t>Tail NPV</t>
  </si>
  <si>
    <t>(Ranges)'!Cash_Flow_Work_Cap_Subprojects</t>
  </si>
  <si>
    <t>Sales_Units_Growth_pct_Yr["Subprojects.Canoes", "Products.Product_1", DATE(2011,7,1)]|=F55</t>
  </si>
  <si>
    <t>(1+Tail_Growth_Rate_Early)*(1+Tail_Discount_Rate)*(1-((1+Tail_Growth_Rate_Early)/(1+Tail_Discount_Rate))^(periods_per("year")*Tail_Time_Early_Yr))/(Tail_Discount_Rate-Tail_Growth_Rate_Early)</t>
  </si>
  <si>
    <t>(Ranges)'!Capital_Average_Subprojects_Canoes</t>
  </si>
  <si>
    <t>(Ranges)'!Expense_Oper_Variable_Subprojects_Canoes_Var_Expense_Accts_Maintenance</t>
  </si>
  <si>
    <t>Price_Average["Subprojects.Catamarans", "Products.Product_1", DATE(2012,7,1)]|=K57</t>
  </si>
  <si>
    <t>Tail_Time_Early_Yr[]|</t>
  </si>
  <si>
    <t>:A:0:Invest_Life_Phys_Yr</t>
  </si>
  <si>
    <t>Expense_Oper_Variable["Subprojects.Catamarans", "Var_Expense_Accts.Fuel", DATE(2011,1,1)]|='(Compute)'!B8</t>
  </si>
  <si>
    <t>var(next(preve(0, Price_Average*Sales_Units)))</t>
  </si>
  <si>
    <t>Investment!Financial_Leverage_Subprojects_Catamarans</t>
  </si>
  <si>
    <t>Invest Tax Credit</t>
  </si>
  <si>
    <t>preve(0, DCF_Cum)+DCF_BlendedFin</t>
  </si>
  <si>
    <t>Invest_Life_Depr_Yr["Subprojects.Canoes", "Invest_per_Subproject.Invest_1"]|=3</t>
  </si>
  <si>
    <t>Fixed operating expenses, segmented by subproject and by time period. Fixed expense begins when the investment is made. 'Fixed' means the expense does not vary with revenue or sales units; it can vary with time.
The variable computes values from a formula that uses previous fixed expense and 'Fixed Operating Expense Growth rate'. You can override the default values by entering your own values.</t>
  </si>
  <si>
    <t>:D:0:Invest_per_Subproject.Invest_2</t>
  </si>
  <si>
    <t>Discount_Rate0_Yr["Subprojects.Catamarans", DATE(2012,10,1)]|=N121</t>
  </si>
  <si>
    <t>Revenue_Growth_pct_Yr</t>
  </si>
  <si>
    <t>Expense_Oper_Fixed_Growth_pct_Yr_In["Subprojects.Catamarans", "Fixed_Expense_Accts.Computers", DATE(2011,10,1)]|=0</t>
  </si>
  <si>
    <t>:WS:</t>
  </si>
  <si>
    <t>:A:0:Debt_Principal</t>
  </si>
  <si>
    <t>(Ranges)'!Expense_Oper_Variable_Subprojects_Catamarans_Var_Expense_Accts_Maintenance</t>
  </si>
  <si>
    <t>Borrowing_Rate</t>
  </si>
  <si>
    <t>var((1+Lease_Rate_Yr)^(1/periods_per("year"))-1)</t>
  </si>
  <si>
    <t>IRR_Guess_Yr["Subprojects.Catamarans"]|=0</t>
  </si>
  <si>
    <t>Book_Value_Fixed_Start</t>
  </si>
  <si>
    <t>(1+Risk_Premium_Yr)^(1/periods_per("year"))-1</t>
  </si>
  <si>
    <t>Working_Cap_Accts</t>
  </si>
  <si>
    <t>:A:-1:IRR_Guess_Yr</t>
  </si>
  <si>
    <t>:A:-1:Fin_Tax_Exp</t>
  </si>
  <si>
    <t xml:space="preserve">The rate at which cash flow grows in the late phase of time after the end of model time </t>
  </si>
  <si>
    <t>Risk_Premium</t>
  </si>
  <si>
    <t>CF_Equity_Fin, Subprojects</t>
  </si>
  <si>
    <t>Lease_Rate_Yr["Subprojects.Catamarans", "Invest_per_Subproject.Invest_2", DATE(2012,1,1)]|=J177</t>
  </si>
  <si>
    <t xml:space="preserve">  Income_Tax</t>
  </si>
  <si>
    <t>Borrowing_Rate_Yr["Subprojects.Canoes", "Invest_per_Subproject.Invest_1", DATE(2012,7,1)]|=M163</t>
  </si>
  <si>
    <t>(Ranges)'!Book_Value_Fixed_End_Time_Period</t>
  </si>
  <si>
    <t>Capital_Average</t>
  </si>
  <si>
    <t>Deprec_Expense_EquityFin</t>
  </si>
  <si>
    <t>Invest_Fixed_Gross-Invest_Tax_Credit</t>
  </si>
  <si>
    <t>:A:-1:Sales_Units_Growth_pct_Yr</t>
  </si>
  <si>
    <t>rollup("Invest_per_Subproject", minr(rangedru("Invest_per_Subproject", Invest_Age_Phys_Period, true)), "Subprojects", minr(rangedru("Subprojects", Invest_Age_Phys_Period, true)))</t>
  </si>
  <si>
    <t>Inputs!Fin_Type_Wgts_Sc_FinTypes_Debt_Scenarios_Fin_Scenario_1_Subprojects_Canoes_Invest_per_Subproject_Invest_2</t>
  </si>
  <si>
    <t>Lease_Rate_Yr["Subprojects.Canoes", "Invest_per_Subproject.Invest_2", DATE(2012,10,1)]|=O177</t>
  </si>
  <si>
    <t>Fin_Type_Wgts_Sc["Scenarios_Fin.Scenario_1", "Subprojects.Catamarans", "Invest_per_Subproject.Invest_1", "FinTypes.Lease"]|=0</t>
  </si>
  <si>
    <t>Lease_Rate_Yr["Subprojects.Catamarans", "Invest_per_Subproject.Invest_2", DATE(2012,10,1)]|=N177</t>
  </si>
  <si>
    <t>Working_Cap_pct_Rev["Subprojects.Catamarans", "Working_Cap_Accts.Supplies_inventory"]|=0</t>
  </si>
  <si>
    <t>Expense_Oper_Variable_pct_Rev["Subprojects.Canoes", "Var_Expense_Accts.Maintenance", DATE(2012,4,1)]|=J79</t>
  </si>
  <si>
    <t>:A:-1:Tail_Growth_Rate_Early_Yr</t>
  </si>
  <si>
    <t>Expense_Oper_Variable["Subprojects.Canoes", "Var_Expense_Accts.Fuel", DATE(2012,4,1)]|='(Compute)'!H18</t>
  </si>
  <si>
    <t>Invest_Tax_Credit_Date["Subprojects.Catamarans", "Invest_per_Subproject.Invest_1"]|=F17</t>
  </si>
  <si>
    <t>Invest_Comp</t>
  </si>
  <si>
    <t>Borrowing_Rate_Yr["Subprojects.Canoes", "Invest_per_Subproject.Invest_2", DATE(2012,4,1)]|=L164</t>
  </si>
  <si>
    <t>Subprojects, Var_Expense_Accts</t>
  </si>
  <si>
    <t>:A:0:Invest_Gross</t>
  </si>
  <si>
    <t>Revenue["Subprojects.Catamarans", "Products.Product_1", DATE(2012,10,1)]|=M57*M63</t>
  </si>
  <si>
    <t>Lease Balloon Payment</t>
  </si>
  <si>
    <t>Invest Physical Time (period)</t>
  </si>
  <si>
    <t>A list of working capitat accounts</t>
  </si>
  <si>
    <t>:A:0:Revenue_Growth_pct_Yr</t>
  </si>
  <si>
    <t>Risk_Premium_Yr[DATE(2010,10,1)]|=0.055</t>
  </si>
  <si>
    <t>Valuation_EquityFin</t>
  </si>
  <si>
    <t>var(ifm(datediff(current_date(1), model_date(1))&lt;0, Cash_Flow_BlendedFin, 0)+Cash_Flow_BlendedFin+nexte(Tail_Future_Value_BlendFin, Valuation_BlendedFin/(1+Discount_Rate)))</t>
  </si>
  <si>
    <t>Invest_Life_Depr_Yr</t>
  </si>
  <si>
    <t>Earnings before interest and taxes for an all-equity financed project</t>
  </si>
  <si>
    <t>Expense_Oper_Variable["Subprojects.Canoes", "Var_Expense_Accts.Fuel", DATE(2011,4,1)]|='(Compute)'!C18</t>
  </si>
  <si>
    <t>Discount Method (Direct or CAPM)</t>
  </si>
  <si>
    <t>Market Risk Premium</t>
  </si>
  <si>
    <t>Beta</t>
  </si>
  <si>
    <t>Fuel</t>
  </si>
  <si>
    <t>:A:0:Debt_Principal_Chg</t>
  </si>
  <si>
    <t>var(if(or(datediff(prev(current_date(1)), Invest_Date)&lt;0, datediff(Invest_Date, index(ranget(Date_Start), max(1, Time_Long_Period-Invest_Life_Phys_Period-1)))&lt;0), 0, if(preve(0)&lt;Invest_Life_Phys_Period, preve(0)+1, 0)))</t>
  </si>
  <si>
    <t>Borrowing_Rate_Yr["Subprojects.Catamarans", "Invest_per_Subproject.Invest_2", DATE(2011,7,1)]|=H162</t>
  </si>
  <si>
    <t>Invest_Life_Depr_Yr["Subprojects.Canoes", "Invest_per_Subproject.Invest_2"]|=3</t>
  </si>
  <si>
    <t>if(Revenue=0, " ", Net_Income/Revenue)</t>
  </si>
  <si>
    <t>EBITDA</t>
  </si>
  <si>
    <t>:A:-1:Invest_Life_Phys_Period</t>
  </si>
  <si>
    <t>Borrowing_Rate_Yr["Subprojects.Catamarans", "Invest_per_Subproject.Invest_1", DATE(2010,10,1)]|=0.1</t>
  </si>
  <si>
    <t>Deprec_Method["Subprojects.Canoes", "Invest_per_Subproject.Invest_2"]|="Linear"</t>
  </si>
  <si>
    <t>Investments_per</t>
  </si>
  <si>
    <t>Investment!Fin_Type_Wgts_FinTypes_Lease_Subprojects_Catamarans_Invest_per_Subproject_Invest_1</t>
  </si>
  <si>
    <t>max(0, Income_Tax_Rate*EBIT_EquityFin)</t>
  </si>
  <si>
    <t>if(Sales_Units=0, 0, Revenue/Sales_Units)</t>
  </si>
  <si>
    <t xml:space="preserve">  Lease_Exp</t>
  </si>
  <si>
    <t>Borrowing_Rate_Yr["Subprojects.Canoes", "Invest_per_Subproject.Invest_1", DATE(2011,4,1)]|=G163</t>
  </si>
  <si>
    <t>A list of the components of cash flow for equity financing.</t>
  </si>
  <si>
    <t>Invest Deprec Time (period)</t>
  </si>
  <si>
    <t>Var_Expense_Accts</t>
  </si>
  <si>
    <t>Sales_Units["Subprojects.Canoes", "Products.Product_1", DATE(2012,4,1)]|=if('(Tables)'!J42=0, 0, if(and('(Tables)'!J42=1, '(Tables)'!I42=0), F51, J64*1+J64*'(Tables)'!G58))</t>
  </si>
  <si>
    <t>Invest_Fixed_Gross["Invest_Fixed.Depreciable", "Subprojects.Canoes", "Invest_per_Subproject.Invest_1"]|=0</t>
  </si>
  <si>
    <t xml:space="preserve">Investment tax credit for investment in each subproject, regardless of whether the company being analyzed gets the credit. For example, if the company being analyzed leases equipment, it does not get the investment tax credit. </t>
  </si>
  <si>
    <t>" "</t>
  </si>
  <si>
    <t>Interest payments for debt financing. Segmented by investment and time period. Excludes payments after the end of model time. A balloon payment at the end of debt term is treated as an additional interest payment.</t>
  </si>
  <si>
    <t>:A:-1:Tail_NPV_EqFin</t>
  </si>
  <si>
    <t>:D:0:CF_Blended</t>
  </si>
  <si>
    <t>:A:0:Revenue</t>
  </si>
  <si>
    <t>var(ifm(datediff(current_date(-1), model_date(1))&lt;0, Cash_Flow_BlendedFin, 0)+Cash_Flow_EquityFin+nexte(Tail_Future_Value_EqFin, Valuation_EquityFin/(1+Discount_Rate)))</t>
  </si>
  <si>
    <t>(Ranges)'!Book_Value_Fixed_End_Date</t>
  </si>
  <si>
    <t>:A:-1:Invest_Tax_Credit</t>
  </si>
  <si>
    <t>Accounts for kinds of fixed expenses</t>
  </si>
  <si>
    <t>Sales_Units["Subprojects.Canoes", "Products.Product_1", DATE(2011,10,1)]|=if('(Tables)'!G42=0, 0, if(and('(Tables)'!G42=1, '(Tables)'!F42=0), F51, G64*1+G64*'(Tables)'!D58))</t>
  </si>
  <si>
    <t>Interest Pay</t>
  </si>
  <si>
    <t>Deprec_Method["Subprojects.Canoes", "Invest_per_Subproject.Invest_1"]|="Linear"</t>
  </si>
  <si>
    <t>:A:0:Valuation_plt</t>
  </si>
  <si>
    <t>:A:0:Discount_Rate0_Yr</t>
  </si>
  <si>
    <t>:SD:0:1/1/2011</t>
  </si>
  <si>
    <t>:A:0:EBITDA_plt</t>
  </si>
  <si>
    <t>Inputs!Fin_Type_Wgts_Sc_FinTypes_Equity_Scenarios_Fin_Scenario_1_Subprojects_Canoes_Invest_per_Subproject_Invest_2</t>
  </si>
  <si>
    <t>Fin_Type_Wgts_Sc["Scenarios_Fin.Scenario_3", "Subprojects.Canoes", "Invest_per_Subproject.Invest_2", "FinTypes.Debt"]|=0</t>
  </si>
  <si>
    <t>Expense_Oper_Variable["Subprojects.Canoes", "Var_Expense_Accts.Maintenance", DATE(2012,10,1)]|='(Compute)'!J21</t>
  </si>
  <si>
    <t>:A:-1:Debt_Interest_Pay</t>
  </si>
  <si>
    <t>(Ranges)'!Book_Value_End_plt_Date</t>
  </si>
  <si>
    <t>Income_Tax_Rate[DATE(2011,1,1)]|=E108</t>
  </si>
  <si>
    <t>Lease_Rate_Yr</t>
  </si>
  <si>
    <t>IRR_Guess_Yr_EquityFin</t>
  </si>
  <si>
    <t>:A:-1:Borrowing_Rate_Yr</t>
  </si>
  <si>
    <t>:D:0:CF_Blended.Fixed_Invest</t>
  </si>
  <si>
    <t>Expense_Oper_Fixed_Growth_pct_Yr_In["Subprojects.Catamarans", "Fixed_Expense_Accts.Vehicles", DATE(2012,10,1)]|=0</t>
  </si>
  <si>
    <t>Lease_Rate_Yr["Subprojects.Catamarans", "Invest_per_Subproject.Invest_1", DATE(2011,1,1)]|=E176</t>
  </si>
  <si>
    <t>Borrowing_Rate_Yr["Subprojects.Canoes", "Invest_per_Subproject.Invest_1", DATE(2010,10,1)]|=0.1</t>
  </si>
  <si>
    <t>Deprec_Method_Tax["Subprojects.Catamarans", "Invest_per_Subproject.Invest_1"]|="Linear"</t>
  </si>
  <si>
    <t>Discounted cash flow of the project and subprojects, using blended financing</t>
  </si>
  <si>
    <t>Cash_Flow_BlendedFin*Discount_Factor</t>
  </si>
  <si>
    <t>Annualized revenue growth rate in each time period, segmented by subproject, and product.</t>
  </si>
  <si>
    <t>Book_Value_End_plt</t>
  </si>
  <si>
    <t>Products</t>
  </si>
  <si>
    <t>Expense_Oper_Variable["Subprojects.Catamarans", "Var_Expense_Accts.Fuel", DATE(2011,4,1)]|='(Compute)'!C8</t>
  </si>
  <si>
    <t>Borrowing_Rate_Yr["Subprojects.Catamarans", "Invest_per_Subproject.Invest_1", DATE(2012,1,1)]|=J161</t>
  </si>
  <si>
    <t>0</t>
  </si>
  <si>
    <t>Expense_Oper_Variable_pct_Rev["Subprojects.Canoes", "Var_Expense_Accts.Fuel", DATE(2011,10,1)]|=G78</t>
  </si>
  <si>
    <t>Catamarans</t>
  </si>
  <si>
    <t>Fin_Type_Wgts_Sc["Scenarios_Fin.Scenario_3", "Subprojects.Canoes", "Invest_per_Subproject.Invest_1", "FinTypes.Debt"]|=0</t>
  </si>
  <si>
    <t>:A:0:DCF_Cum_plt</t>
  </si>
  <si>
    <t>Book_Value_End</t>
  </si>
  <si>
    <t>:D:0:FinTax.Income_Tax</t>
  </si>
  <si>
    <t>Tail_Discount_Rate</t>
  </si>
  <si>
    <t>Income Tax</t>
  </si>
  <si>
    <t>Inputs!Fin_Type_Wgts_Sc_FinTypes_Lease_Scenarios_Fin_Scenario_3_Subprojects_Catamarans_Invest_per_Subproject_Invest_1</t>
  </si>
  <si>
    <t>Fin_Type_Wgts_Sc["Scenarios_Fin.Scenario_1", "Subprojects.Canoes", "Invest_per_Subproject.Invest_2", "FinTypes.Debt"]|=0</t>
  </si>
  <si>
    <t>Borrowing_Rate_Yr["Subprojects.Canoes", "Invest_per_Subproject.Invest_2", DATE(2012,10,1)]|=N164</t>
  </si>
  <si>
    <t>Book_Value_Fixed_End</t>
  </si>
  <si>
    <t>Expense_Oper_Variable["Subprojects.Catamarans", "Var_Expense_Accts.Fuel", DATE(2012,7,1)]|='(Compute)'!I8</t>
  </si>
  <si>
    <t>:A:0:Working_Cap_Residual_pct</t>
  </si>
  <si>
    <t>Subprojects, CF_Blended.Lease_Pay</t>
  </si>
  <si>
    <t>Debt_Balloon_Pay["Invest_per_Subproject.Invest_1", "Subprojects.Canoes"]|=0/2/2</t>
  </si>
  <si>
    <t>Discount_Method[]|</t>
  </si>
  <si>
    <t>(Ranges)'!DCF_BlendedFin_CF_Blended_Inv_Tax_Credit</t>
  </si>
  <si>
    <t>(Ranges)'!DCF_plt_Subprojects</t>
  </si>
  <si>
    <t>Annualized internal rate of return for the project using blended financing, during mdoel time.
Excludes cash flow in the tail after model time.</t>
  </si>
  <si>
    <t>Fin_Type_Wgts</t>
  </si>
  <si>
    <t>:D:2:FinTax.Interest</t>
  </si>
  <si>
    <t>Value of cash flows that occur after the end of model time, discounted to the end of model time. Based on equity financing and cash flow in the last period of model time.</t>
  </si>
  <si>
    <t>:D:2:Products.Product_1</t>
  </si>
  <si>
    <t>Fin_Tax_Exp</t>
  </si>
  <si>
    <t>Time (Yr)</t>
  </si>
  <si>
    <t>Fixed Operating Exp Annualized Growth</t>
  </si>
  <si>
    <t>(Ranges)'!Revenue_Subprojects_Canoes_Products_Product_1</t>
  </si>
  <si>
    <t>:D:0:Scenarios_Fin</t>
  </si>
  <si>
    <t>Expense_Oper_Variable_pct_Rev["Subprojects.Catamarans", "Var_Expense_Accts.Maintenance", DATE(2012,1,1)]|=H77</t>
  </si>
  <si>
    <t>Invest_Fixed_Resid_Value["Invest_Fixed.Depreciable", "Subprojects.Canoes", "Invest_per_Subproject.Invest_2"]|=0</t>
  </si>
  <si>
    <t>Invest_Life_Depr_Yr["Subprojects.Catamarans", "Invest_per_Subproject.Invest_2"]|=3</t>
  </si>
  <si>
    <t>Fin_Type_Wgts_Sc["Scenarios_Fin.Scenario_2", "Subprojects.Canoes", "Invest_per_Subproject.Invest_2", "FinTypes.Equity"]|=1-sum(F151:G151)</t>
  </si>
  <si>
    <t>rollup("Invest_per_Subproject", minr(rangedru("Invest_per_Subproject", Invest_Age_Depr_Period, true)), "Subprojects", minr(rangedru("Subprojects", Invest_Age_Depr_Period, true)))</t>
  </si>
  <si>
    <t>Fin_Type_Wgts_Sc["Scenarios_Fin.Scenario_3", "Subprojects.Canoes", "Invest_per_Subproject.Invest_2", "FinTypes.Equity"]|=1-sum(F155:G155)</t>
  </si>
  <si>
    <t>Working_Cap_Initial["Subprojects.Canoes", "Working_Cap_Accts.Receivables"]|=0/2/2</t>
  </si>
  <si>
    <t>:D:-1:CF_Equity_Fin</t>
  </si>
  <si>
    <t xml:space="preserve">  Supplies_inventory</t>
  </si>
  <si>
    <t>:A:-1:Discount_Factor</t>
  </si>
  <si>
    <t>Deprec_Method_Tax</t>
  </si>
  <si>
    <t>:D:-1:Fixed_Expense_Accts</t>
  </si>
  <si>
    <t>Fin Types</t>
  </si>
  <si>
    <t>:A:-1:DCF_Cum</t>
  </si>
  <si>
    <t>:A:0:Beta</t>
  </si>
  <si>
    <t>:D:2:CF_Equity_Fin</t>
  </si>
  <si>
    <t>Risk_Premium_Yr[DATE(2011,7,1)]|=H132</t>
  </si>
  <si>
    <t>Cash Flow - Fixed Invest</t>
  </si>
  <si>
    <t>Cum DCF</t>
  </si>
  <si>
    <t>Start Date</t>
  </si>
  <si>
    <t>(Ranges)'!DCF_BlendedFin_CF_Blended_Lease_Pay_Subprojects_Catamarans</t>
  </si>
  <si>
    <t>:A:-1:Net_Income_plt</t>
  </si>
  <si>
    <t>:A:-1:Expense_Oper_Fixed_Growth_pct</t>
  </si>
  <si>
    <t>Investment!Fin_Type_Wgts_FinTypes</t>
  </si>
  <si>
    <t>:A:-1:Beta</t>
  </si>
  <si>
    <t>Expense_Oper_Fixed_Growth_pct_Yr_In["Subprojects.Catamarans", "Fixed_Expense_Accts.Vehicles", DATE(2012,7,1)]|=0</t>
  </si>
  <si>
    <t>Invest_Life_Depr_Yr["Subprojects.Catamarans", "Invest_per_Subproject.Invest_1"]|=3</t>
  </si>
  <si>
    <t>:A:-1:Time_Yr</t>
  </si>
  <si>
    <t>FinTax.Income_Tax, Subprojects</t>
  </si>
  <si>
    <t>Expense_Oper_Variable["Subprojects.Canoes", "Var_Expense_Accts.Maintenance", DATE(2012,7,1)]|='(Compute)'!I21</t>
  </si>
  <si>
    <t>(Ranges)'!Capital_Average_Subprojects_Catamarans</t>
  </si>
  <si>
    <t>:WS:Output</t>
  </si>
  <si>
    <t>:A:-1:Sales_Units</t>
  </si>
  <si>
    <t>Subprojects, CF_Equity_Fin.EBITDA</t>
  </si>
  <si>
    <t>Sales_Units["Subprojects.Canoes", "Products.Product_1", DATE(2011,7,1)]|=if('(Tables)'!F42=0, 0, if(and('(Tables)'!F42=1, '(Tables)'!E42=0), F51, F64*1+F64*'(Tables)'!C58))</t>
  </si>
  <si>
    <t>:A:0:Expense_Oper_Fixed_Growth_pct</t>
  </si>
  <si>
    <t>Discount_Rate0_Yr["Subprojects.Canoes", DATE(2011,7,1)]|=I121</t>
  </si>
  <si>
    <t>Inputs!Fin_Type_Wgts_Sc_FinTypes_Debt_Scenarios_Fin_Scenario_3_Subprojects_Canoes_Invest_per_Subproject_Invest_1</t>
  </si>
  <si>
    <t>:A:0:Invest_Age_Phys_Period</t>
  </si>
  <si>
    <t>Price_Average["Subprojects.Catamarans", "Products.Product_1", DATE(2012,4,1)]|=J57</t>
  </si>
  <si>
    <t>Sales_Units_Growth_pct_Yr["Subprojects.Catamarans", "Products.Product_1", DATE(2012,1,1)]|=H54</t>
  </si>
  <si>
    <t xml:space="preserve">  Fixed_Invest</t>
  </si>
  <si>
    <t>Expense_Oper_Variable["Subprojects.Canoes", "Var_Expense_Accts.Maintenance", DATE(2012,4,1)]|='(Compute)'!H21</t>
  </si>
  <si>
    <t>Borrowing_Rate_Yr["Subprojects.Canoes", "Invest_per_Subproject.Invest_2", DATE(2011,10,1)]|=I164</t>
  </si>
  <si>
    <t>(Ranges)'!DCF_BlendedFin_CF_Blended_Interest_Pay_Subprojects_Canoes</t>
  </si>
  <si>
    <t>Equity</t>
  </si>
  <si>
    <t>Annual interest rate at which debt financing can be obtained for each sub project, by time period.
The borrowing rate for the first time period and the first subproject is, by default, copied to later time periods and other subprojects. You can override the default by entering a discount rate for any time period and subproject.</t>
  </si>
  <si>
    <t>Revenue-Expense_Oper_Variable-Expense_Oper_Fixed-0</t>
  </si>
  <si>
    <t>Initial Working Cap</t>
  </si>
  <si>
    <t>Debt Principal</t>
  </si>
  <si>
    <t>Expense_Oper_Variable_pct_Rev["Subprojects.Catamarans", "Var_Expense_Accts.Fuel", DATE(2012,4,1)]|=J76</t>
  </si>
  <si>
    <t>EBIT-Fin_Tax_Exp</t>
  </si>
  <si>
    <t>:A:0:Lease_Pay</t>
  </si>
  <si>
    <t>Riskless_Rate</t>
  </si>
  <si>
    <t>:A:-1:Tail_Future_Value_BlendFin</t>
  </si>
  <si>
    <t>(Ranges)'!Valuation_BlendedFin_Date</t>
  </si>
  <si>
    <t>:D:2:CF_Blended</t>
  </si>
  <si>
    <t>(Ranges)'!Book_Value_End_Time_Period</t>
  </si>
  <si>
    <t>(Ranges)'!DCF_BlendedFin_Time_Period</t>
  </si>
  <si>
    <t>var(if(datediff(current_date(1), Invest_Date)&lt;=0, 0, if(preve(0)&lt;Invest_Life_Depr_Period, preve(0)+1, 0)))</t>
  </si>
  <si>
    <t>Expense_Oper_Variable_pct_Rev["Subprojects.Canoes", "Var_Expense_Accts.Fuel", DATE(2012,1,1)]|=H78</t>
  </si>
  <si>
    <t>Earnings before interest, income taxes, depreciation, and amortization. Computed as revenue less operating expenses, segmented by subproject and by time period. Covers model time, excludes tail after model time.
Used only for plot support.</t>
  </si>
  <si>
    <t>NPV</t>
  </si>
  <si>
    <t>Borrowing_Rate_Yr["Subprojects.Canoes", "Invest_per_Subproject.Invest_2", DATE(2011,1,1)]|=E164</t>
  </si>
  <si>
    <t>Investment</t>
  </si>
  <si>
    <t>:A:0:IRR_Yr_EquityFin</t>
  </si>
  <si>
    <t>(Ranges)'!Net_Income_plt_Subprojects_Catamarans</t>
  </si>
  <si>
    <t>(Ranges)'!EBITDA_Date</t>
  </si>
  <si>
    <t>:A:-1:Book_Value_End</t>
  </si>
  <si>
    <t>Tail_Future_Value_EqFin*last(Discount_Factor)</t>
  </si>
  <si>
    <t>Investment!Fin_Type_Wgts_FinTypes_Equity_Subprojects_Catamarans_Invest_per_Subproject_Invest_2</t>
  </si>
  <si>
    <t>Expense_Oper_Variable_pct_Rev["Subprojects.Canoes", "Var_Expense_Accts.Maintenance", DATE(2011,4,1)]|=E79</t>
  </si>
  <si>
    <t>Expense_Oper_Variable["Subprojects.Catamarans", "Var_Expense_Accts.Maintenance", DATE(2012,7,1)]|='(Compute)'!I11</t>
  </si>
  <si>
    <t>:A:-1:Invest_Life_Depr_Period</t>
  </si>
  <si>
    <t>Lease_Rate_Yr["Subprojects.Canoes", "Invest_per_Subproject.Invest_2", DATE(2011,4,1)]|=H177</t>
  </si>
  <si>
    <t>:D:0:Fixed_Expense_Accts.Vehicles</t>
  </si>
  <si>
    <t>Expense_Oper_Variable_pct_Rev</t>
  </si>
  <si>
    <t>Subprojects</t>
  </si>
  <si>
    <t>Factor that multiples last value of cash flow in model time to yield future value of cash flows that occur in the late phase of the time after the end of model time, discounted to the end of model time. 
Derviation of present value:
A = First term = Last(Cash_Flow) * (1+Tail_Growth_Rate_Early_Yr)^Tail_Time_Early_Yr * (1+Tail_Growth_Rate_Late)
N = Number of terms = periods_per("year") * Tail_Time_Later_Yr
gr = geometric factor =(1+growth) / (1+r)
Term in period n is: A * gr^(n-1), for n = 0, ... N-1
Then sum of first N terms is: A * (1-gr^N) / (1-gr) = A * (1+r) * (1-((1+g)/(1+r))^N) / (r-g)
As N becomes indefinitely large, this becomes A * (1+r) / (r-g)
Discounting forward from end of the early tail to the end of model time is accomplished by a factor 1 / (1+r)^N[early]</t>
  </si>
  <si>
    <t>Working Capital Amort</t>
  </si>
  <si>
    <t>Physical Life (periods)</t>
  </si>
  <si>
    <t>(Ranges)'!DCF_BlendedFin_CF_Blended_Fixed_Invest_Subprojects_Canoes</t>
  </si>
  <si>
    <t>Inputs!Fin_Type_Wgts_Sc_FinTypes_Debt_Scenarios_Fin_Scenario_2_Subprojects_Catamarans_Invest_per_Subproject_Invest_2</t>
  </si>
  <si>
    <t>Tail Discount Rate (Yr)</t>
  </si>
  <si>
    <t>Discount Factor</t>
  </si>
  <si>
    <t>(Ranges)'!Net_Income_plt_Subprojects_Canoes</t>
  </si>
  <si>
    <t>:A:0:IRR_Guess_Yr</t>
  </si>
  <si>
    <t>Fixed operating expense in the first time period, segmented by subproject and product. 'Fixed' means the expense does not vary with revenue or sales units; it can vary with time.</t>
  </si>
  <si>
    <t>:A:0:Project_Name</t>
  </si>
  <si>
    <t>Debt_Balloon_Pay["Invest_per_Subproject.Invest_2", "Subprojects.Catamarans"]|=0/2/2</t>
  </si>
  <si>
    <t>Revenue["Subprojects.Catamarans", "Products.Product_1", DATE(2011,7,1)]|=G57*G63</t>
  </si>
  <si>
    <t>Book_Value_Fixed_End+Working_Capital</t>
  </si>
  <si>
    <t>Invest_Fixed_Gross["Invest_Fixed.Non_Deprec", "Subprojects.Catamarans", "Invest_per_Subproject.Invest_2"]|=0</t>
  </si>
  <si>
    <t>Revenue["Subprojects.Catamarans", "Products.Product_1", DATE(2011,1,1)]|=E57*E63</t>
  </si>
  <si>
    <t xml:space="preserve">The maximum number of investments in per sub-project. Each investment has its own investement amount, date and so forth. </t>
  </si>
  <si>
    <t>Expense_Oper_Fixed_Growth_pct_Yr_In["Subprojects.Catamarans", "Fixed_Expense_Accts.Vehicles", DATE(2012,4,1)]|=0</t>
  </si>
  <si>
    <t>Book value of the investment project at the end of each time period, equal to the book value of fixed assets plus working capital</t>
  </si>
  <si>
    <t>(Ranges)'!Revenue_Subprojects</t>
  </si>
  <si>
    <t>(Ranges)'!Valuation_plt_Subprojects_Canoes</t>
  </si>
  <si>
    <t>:A:-1:IRR_Yr</t>
  </si>
  <si>
    <t>:A:0:Sales_Units</t>
  </si>
  <si>
    <t>Discounted cash flow of the project and subprojects, using blended financing if applicable.
Used only for plot support.</t>
  </si>
  <si>
    <t>Discount_Rate0_Yr["Subprojects.Canoes", DATE(2011,10,1)]|=J121</t>
  </si>
  <si>
    <t>Expense_Oper_Variable["Subprojects.Catamarans", "Var_Expense_Accts.Maintenance", DATE(2011,7,1)]|='(Compute)'!D11</t>
  </si>
  <si>
    <t>Maintenance</t>
  </si>
  <si>
    <t>Expense_Oper_Variable_pct_Rev["Subprojects.Catamarans", "Var_Expense_Accts.Fuel", DATE(2011,4,1)]|=E76</t>
  </si>
  <si>
    <t>Inputs!Fin_Type_Wgts_Sc_FinTypes_Lease_Scenarios_Fin_Scenario_2_Subprojects_Catamarans_Invest_per_Subproject_Invest_1</t>
  </si>
  <si>
    <t>(Ranges)'!Valuation_BlendedFin_Subprojects</t>
  </si>
  <si>
    <t>Inputs!Fin_Type_Wgts_Sc_FinTypes_Lease_Scenarios_Fin_Scenario_2_Subprojects_Catamarans_Invest_per_Subproject_Invest_2</t>
  </si>
  <si>
    <t xml:space="preserve">  Debt</t>
  </si>
  <si>
    <t>Fin_Type_Wgts_Sc["Scenarios_Fin.Scenario_2", "Subprojects.Canoes", "Invest_per_Subproject.Invest_1", "FinTypes.Lease"]|=0</t>
  </si>
  <si>
    <t>Risk_Premium_Yr[DATE(2011,10,1)]|=I132</t>
  </si>
  <si>
    <t>Invest_Tax_Credit_EquityFin</t>
  </si>
  <si>
    <t>(Ranges)'!Valuation_plt_Time_Period</t>
  </si>
  <si>
    <t>var(if(Invest_Time_Phys_Period=0, 0, if(and(Invest_Time_Phys_Period=1, preve(0, Invest_Time_Phys_Period)=0), Sales_Units_Initial, (1+next(preve(0, Sales_Units_Growth_pct)))*preve(0, Sales_Units))))</t>
  </si>
  <si>
    <t>:D:1:Working_Cap_Accts</t>
  </si>
  <si>
    <t>(Ranges)'!Cash_Flow_Work_Cap_Time_Period</t>
  </si>
  <si>
    <t>Fin_Type_Wgts_Sc["Scenarios_Fin.Scenario_2", "Subprojects.Canoes", "Invest_per_Subproject.Invest_2", "FinTypes.Lease"]|=0</t>
  </si>
  <si>
    <t>Annualized growth rate of sales units in each time period, segmented by subproject and product.</t>
  </si>
  <si>
    <t>:D:0:CF_Blended.Income_Tax</t>
  </si>
  <si>
    <t>Expense_Oper_Variable_pct_Rev["Subprojects.Catamarans", "Var_Expense_Accts.Fuel", DATE(2012,7,1)]|=K76</t>
  </si>
  <si>
    <t>Valuation_BlendedFin</t>
  </si>
  <si>
    <t>Fin_Type_Wgts_Sc["Scenarios_Fin.Scenario_1", "Subprojects.Catamarans", "Invest_per_Subproject.Invest_2", "FinTypes.Equity"]|=1-sum(F145:G145)</t>
  </si>
  <si>
    <t>Discount_Rate</t>
  </si>
  <si>
    <t>Invest Time (periods)</t>
  </si>
  <si>
    <t>:A:-1:EBIT</t>
  </si>
  <si>
    <t>Sales_Units_Growth_pct_Yr["Subprojects.Catamarans", "Products.Product_1", DATE(2011,10,1)]|=G54</t>
  </si>
  <si>
    <t>Receivables</t>
  </si>
  <si>
    <t>The residual value of depreciable investment at the end of the project, segmented by subproject. 
The residual value of non-depreciable investments defaults to the initial value, and you can override this default to reflect changes in market value of land.</t>
  </si>
  <si>
    <t>Lease_Rate_Yr["Subprojects.Catamarans", "Invest_per_Subproject.Invest_1", DATE(2012,1,1)]|=J176</t>
  </si>
  <si>
    <t>Price_Average["Subprojects.Canoes", "Products.Product_1", DATE(2011,1,1)]|=0</t>
  </si>
  <si>
    <t>(1+Riskless_Rate_Yr)^(1/periods_per("year"))-1</t>
  </si>
  <si>
    <t>Subprojects, CF_Blended.Working_Cap</t>
  </si>
  <si>
    <t>CF Equity Fin</t>
  </si>
  <si>
    <t xml:space="preserve">  EBITDA</t>
  </si>
  <si>
    <t>Working_Cap_Max</t>
  </si>
  <si>
    <t>:A:0:Tail_Time_Early_Yr</t>
  </si>
  <si>
    <t>prevde(preve(0.15, Discount_Rate0_Yr), "Subprojects")</t>
  </si>
  <si>
    <t>:D:0:CF_Equity_Fin.Inv_Tax_Credit</t>
  </si>
  <si>
    <t>(Ranges)'!Expense_Oper_Fixed_Subprojects_Catamarans</t>
  </si>
  <si>
    <t>Change in debt principal. Includes borrowing (+) and principal repayments (-). Segmented by investment and time period. Excludes payments after the end of model time.</t>
  </si>
  <si>
    <t>Subprojects, Working_Cap_Accts</t>
  </si>
  <si>
    <t>var(if(datediff(current_date(1), Invest_First_Date)&lt;0, 0, if(or(datediff(current_date(-1), model_date(1))=0, datediff(prev(current_date(1), 1), Invest_First_Date)&lt;0), Working_Cap_Initial, Working_Cap_pct_Rev*Revenue)))</t>
  </si>
  <si>
    <t>(Ranges)'!Expense_Oper_Fixed_Subprojects_Catamarans_Fixed_Expense_Accts_Vehicles</t>
  </si>
  <si>
    <t>Subprojects, CF_Equity_Fin.Fixed_Invest</t>
  </si>
  <si>
    <t>:A:0:Book_Value_End_plt</t>
  </si>
  <si>
    <t>Counts time in years</t>
  </si>
  <si>
    <t>ifm(datediff(current_date(1), model_date(1))&lt;0, 0, -Income_Tax_Rate*EBITDA)</t>
  </si>
  <si>
    <t>:D:0:FinTypes.Equity</t>
  </si>
  <si>
    <t>:D:-1:Products</t>
  </si>
  <si>
    <t>Project Name</t>
  </si>
  <si>
    <t>:A:-1:Financial_Leverage</t>
  </si>
  <si>
    <t>Working_Cap_Residual_pct</t>
  </si>
  <si>
    <t>IRR_Guess_Yr["Subprojects.Canoes"]|=0</t>
  </si>
  <si>
    <t>:A:0:Fin_Type_Wgts_Sc</t>
  </si>
  <si>
    <t>Cash_Flow_Fixed_Invest</t>
  </si>
  <si>
    <t>Date on which the investment tax credit is paid to the project</t>
  </si>
  <si>
    <t>:A:-1:Lease_Rate_Yr</t>
  </si>
  <si>
    <t>(Ranges)'!DCF_Cum_plt_Subprojects</t>
  </si>
  <si>
    <t>:D:0:CF_Blended.Inv_Tax_Credit</t>
  </si>
  <si>
    <t>(Ranges)'!DCF_BlendedFin_CF_Blended_EBITDA_Subprojects_Canoes</t>
  </si>
  <si>
    <t>:A:0:Deprec_Expense_Tax</t>
  </si>
  <si>
    <t>Fixed Invest</t>
  </si>
  <si>
    <t>var(if(or(datediff(Invest_Tax_Credit_Date, current_date(-1))&lt;0, datediff(Invest_Tax_Credit_Date, current_date(1))&gt;0), 0, Invest_Tax_Credit_EquityFin))</t>
  </si>
  <si>
    <t>Debt_Principal</t>
  </si>
  <si>
    <t>Annual rate of return on "riskless" investments in the capital asset pricing model. Usually approximated as the rate of return on treasury bills.</t>
  </si>
  <si>
    <t>Sales_Units_Growth_pct_Yr["Subprojects.Catamarans", "Products.Product_1", DATE(2012,7,1)]|=K54</t>
  </si>
  <si>
    <t>:D:0:CF_Blended.Debt_Principal</t>
  </si>
  <si>
    <t>Initial gross investment is depreciable investment plus non-depreciable investment plus initial working capital. Excludes residual value of investments. Gross investment is computed for each subproject, but not for each investment within a subproject. 
This amount is used to compute the principal amounts for debt and effective principal amounts for leases.</t>
  </si>
  <si>
    <t>:A:-1:Tail_Future_Value_EqFin</t>
  </si>
  <si>
    <t>Subproject</t>
  </si>
  <si>
    <t>Discount_Rate0_Yr["Subprojects.Canoes", DATE(2011,4,1)]|=H121</t>
  </si>
  <si>
    <t>Inputs!Fin_Type_Wgts_Sc_FinTypes_Debt_Scenarios_Fin_Scenario_1_Subprojects_Catamarans_Invest_per_Subproject_Invest_2</t>
  </si>
  <si>
    <t>Expense_Oper_Fixed_Growth_pct_Yr_In["Subprojects.Catamarans", "Fixed_Expense_Accts.Computers", DATE(2012,4,1)]|=0</t>
  </si>
  <si>
    <t>Investment!Fin_Type_Wgts_FinTypes_Lease_Subprojects</t>
  </si>
  <si>
    <t>:A:-1:Tail_NPV_BlendedFin</t>
  </si>
  <si>
    <t>Outstanding debt principal, at the end of each time period</t>
  </si>
  <si>
    <t>Cash flow from fixed investment including depreciable investment, non-depreciable investment, and residual values. Excludes tax credits and working capital cash flows. Assumes equity (and/or debt) financing. Segmented by subproject.</t>
  </si>
  <si>
    <t>Working_Cap_pct_Rev</t>
  </si>
  <si>
    <t>(Ranges)'!Expense_Oper_Fixed_Subprojects_Catamarans_Fixed_Expense_Accts_Computers</t>
  </si>
  <si>
    <t>:A:-1:NPV_BlendedFin</t>
  </si>
  <si>
    <t>:D:0:Var_Expense_Accts.Maintenance</t>
  </si>
  <si>
    <t>:A:0:Price_Average</t>
  </si>
  <si>
    <t>:A:-1:Tail_FV_Late_Factor</t>
  </si>
  <si>
    <t>Depreciation of depreciable investment (excluding residual value), using specified depreciation method for tax purposes, segmented by subproject and by time period</t>
  </si>
  <si>
    <t>Average capital employed in each time period is the average of initial and final book value for the period. Capital consists of fixed assets and working capital.</t>
  </si>
  <si>
    <t>Investment!Fin_Type_Wgts_FinTypes_Equity_Subprojects_Catamarans</t>
  </si>
  <si>
    <t>Financial_Leverage</t>
  </si>
  <si>
    <t>Tail_Discount_Rate_Yr</t>
  </si>
  <si>
    <t>Revenue["Subprojects.Canoes", "Products.Product_1", DATE(2011,4,1)]|=F58*F64</t>
  </si>
  <si>
    <t>Tail_Growth_Rate_Late_Yr["Subprojects.Catamarans"]|=0.0</t>
  </si>
  <si>
    <t>Borrowing_Rate_Yr["Subprojects.Catamarans", "Invest_per_Subproject.Invest_2", DATE(2012,10,1)]|=N162</t>
  </si>
  <si>
    <t>Income tax rate on taxable income. If taxable income is negative, tax is zero.</t>
  </si>
  <si>
    <t>Residual Value</t>
  </si>
  <si>
    <t>(Ranges)'!DCF_BlendedFin_CF_Blended_Working_Cap_Subprojects_Canoes</t>
  </si>
  <si>
    <t>Tail_Growth_Rate_Early_Yr["Subprojects.Catamarans"]|=0.0</t>
  </si>
  <si>
    <t>(1+Discount_Rate_Yr)^(1/periods_per("year"))-1</t>
  </si>
  <si>
    <t>Income Tax Rate</t>
  </si>
  <si>
    <t xml:space="preserve">  Product_1</t>
  </si>
  <si>
    <t>:D:0:FinTax.Lease_Exp</t>
  </si>
  <si>
    <t>Invest_Date["Subprojects.Canoes", "Invest_per_Subproject.Invest_1"]|=date(year('(FnCalls 1)'!A7), month('(FnCalls 1)'!A7)+round(2/0.3333333333333333333333333333+(-1)/0.3333333333333333333333333333, 0), day('(FnCalls 1)'!A7)-1)</t>
  </si>
  <si>
    <t>A list of the financing scenarios</t>
  </si>
  <si>
    <t>Subprojects, CF_Blended.Fixed_Invest</t>
  </si>
  <si>
    <t>Deprec_Method_Tax["Subprojects.Canoes", "Invest_per_Subproject.Invest_1"]|="Linear"</t>
  </si>
  <si>
    <t>Factor that multiples last value of cash flow in model time to yield future value of cash flows that occur in the early phase of the time after the end of model time, discounted to the end of model time. 
Derviation of present value:
A = First term = Last(Cash_Flow) * (1+Tail_Growth_Rate_Early)
N = Number of terms = periods_per("year") * Tail_Time_Early_Yr
gr = geometric factor = (1+growth) / (1+r)
Term in period n is: A * gr^(n-1), for n = 0, ... N-1
Then sum of first N terms is: A *(1-gr^N) / (1-gr) = A * (1+r) * (1-((1+g) / (1+r))^N) / (r-g)
As N becomes indefinitely large, this becomes A * (1+r) / (r-g)</t>
  </si>
  <si>
    <t>Discount_Rate0_Yr["Subprojects.Catamarans", DATE(2012,4,1)]|=L121</t>
  </si>
  <si>
    <t>Cumulative DCF</t>
  </si>
  <si>
    <t>Invest_Tax_Credit_pct*(1-Fin_Type_Wgts["FinTypes.Lease"])*Invest_Fixed_Gross["Invest_Fixed.Depreciable"]</t>
  </si>
  <si>
    <t>:A:-1:Invest_Time_Depr_Period</t>
  </si>
  <si>
    <t>Discount_Method</t>
  </si>
  <si>
    <t>(Ranges)'!Valuation_EquityFin_Subprojects_Canoes</t>
  </si>
  <si>
    <t>:A:0:Book_Value_Fixed_Start</t>
  </si>
  <si>
    <t>Lease_Rate_Yr["Subprojects.Catamarans", "Invest_per_Subproject.Invest_1", DATE(2012,4,1)]|=L176</t>
  </si>
  <si>
    <t>:A:-1:Invest_Age_Depr_Period</t>
  </si>
  <si>
    <t>Financing_Scenario</t>
  </si>
  <si>
    <t>(Ranges)'!Revenue_Time_Period</t>
  </si>
  <si>
    <t>Lease_Rate_Yr["Subprojects.Catamarans", "Invest_per_Subproject.Invest_1", DATE(2012,7,1)]|=M176</t>
  </si>
  <si>
    <t>Fixed_Expense_Accts</t>
  </si>
  <si>
    <t>Expense_Oper_Fixed_Growth_pct_Yr_In["Subprojects.Canoes", "Fixed_Expense_Accts.Vehicles", DATE(2011,4,1)]|=0</t>
  </si>
  <si>
    <t>SubProject</t>
  </si>
  <si>
    <t>Inputs!Fin_Type_Wgts_Sc_FinTypes_Equity_Scenarios_Fin_Scenario_2_Subprojects_Canoes_Invest_per_Subproject_Invest_2</t>
  </si>
  <si>
    <t>Revenue["Subprojects.Canoes", "Products.Product_1", DATE(2012,1,1)]|=J58*J64</t>
  </si>
  <si>
    <t>Lease_Rate_Yr["Subprojects.Canoes", "Invest_per_Subproject.Invest_2", DATE(2012,4,1)]|=M177</t>
  </si>
  <si>
    <t>Working_Cap_Residual_pct["Subprojects.Catamarans", "Working_Cap_Accts.Receivables"]|=0</t>
  </si>
  <si>
    <t>NPV Equity Financing</t>
  </si>
  <si>
    <t>var(if(and(Invest_Time_Phys_Period=1, preve(0, Invest_Time_Phys_Period)=0), -Invest_Fixed_Gross, 0)+if(Invest_Time_Phys_Period=Invest_Life_Phys_Period, Invest_Fixed_Resid_Value, 0))</t>
  </si>
  <si>
    <t xml:space="preserve">  Catamarans</t>
  </si>
  <si>
    <t>:A:0:Invest_Tax_Credit</t>
  </si>
  <si>
    <t>(Ranges)'!DCF_BlendedFin_CF_Blended_EBITDA</t>
  </si>
  <si>
    <t>Invest_per_Subproject, Subprojects</t>
  </si>
  <si>
    <t>:A:0:Tail_NPV_BlendedFin</t>
  </si>
  <si>
    <t>Discount Rate Default (Yr)</t>
  </si>
  <si>
    <t>Expense_Oper_Variable["Subprojects.Catamarans", "Var_Expense_Accts.Maintenance", DATE(2011,10,1)]|='(Compute)'!E11</t>
  </si>
  <si>
    <t>(Ranges)'!Valuation_EquityFin_Subprojects_Catamarans</t>
  </si>
  <si>
    <t>:A:-1:EBIT_EquityFin</t>
  </si>
  <si>
    <t>Borrowing_Rate_Yr["Subprojects.Catamarans", "Invest_per_Subproject.Invest_1", DATE(2012,7,1)]|=M161</t>
  </si>
  <si>
    <t>:D:2:Working_Cap_Accts</t>
  </si>
  <si>
    <t>Depreciation Exp - Taxes</t>
  </si>
  <si>
    <t>:A:0:Invest_Fixed_Gross</t>
  </si>
  <si>
    <t>:D:1:Subprojects</t>
  </si>
  <si>
    <t>Deprec_Method_Tax["Subprojects.Canoes", "Invest_per_Subproject.Invest_2"]|="Linear"</t>
  </si>
  <si>
    <t>current_date(-1)</t>
  </si>
  <si>
    <t>Income_Tax</t>
  </si>
  <si>
    <t>:D:2:CF_Equity_Fin.EBITDA</t>
  </si>
  <si>
    <t>:A:-1:Return_on_Cap_Avg_Yr</t>
  </si>
  <si>
    <t>Investment!Fin_Type_Wgts_FinTypes_Debt_Subprojects_Canoes_Invest_per_Subproject</t>
  </si>
  <si>
    <t>Tail_NPV_BlendedFin</t>
  </si>
  <si>
    <t>Average selling price of each unit sold, segmented by by subproject, product, and time period</t>
  </si>
  <si>
    <t>Expense_Oper_Fixed["Subprojects.Catamarans", "Fixed_Expense_Accts.Computers", DATE(2011,4,1)]|=if(or('(FnCalls 1)'!A8-'(FnCalls 1)'!A7&lt;=0, '(Tables)'!E38=0), 0, if(and('(Tables)'!E38=1, '(Tables)'!D38=0), E82, E101*1+E101*'(Tables)'!B99))</t>
  </si>
  <si>
    <t>Expense_Oper_Fixed_Growth_pct_Yr_In["Subprojects.Canoes", "Fixed_Expense_Accts.Computers", DATE(2012,7,1)]|=0</t>
  </si>
  <si>
    <t>Expense_Oper_Fixed_Growth_pct_Yr_In["Subprojects.Catamarans", "Fixed_Expense_Accts.Vehicles", DATE(2012,1,1)]|=0</t>
  </si>
  <si>
    <t>:A:-1:Invest_Tax_Credit_pct</t>
  </si>
  <si>
    <t>:A:-1:Borrowing_Rate</t>
  </si>
  <si>
    <t>Book Value (End)</t>
  </si>
  <si>
    <t>Financial Leverage</t>
  </si>
  <si>
    <t>Beta["Subprojects.Catamarans"]|=1.00</t>
  </si>
  <si>
    <t>Invest_Tax_Credit_pct*Invest_Fixed_Gross["Invest_Fixed.Depreciable"]</t>
  </si>
  <si>
    <t>Lease Exp</t>
  </si>
  <si>
    <t>Income_Tax_Rate[DATE(2012,1,1)]|=J108</t>
  </si>
  <si>
    <t>(Ranges)'!DCF_BlendedFin_CF_Blended_Inv_Tax_Credit_Subprojects_Catamarans</t>
  </si>
  <si>
    <t>Inputs!Fin_Type_Wgts_Sc_FinTypes_Equity_Scenarios_Fin_Scenario_1_Subprojects_Catamarans_Invest_per_Subproject_Invest_1</t>
  </si>
  <si>
    <t>:A:-1:Invest_Fixed_Net</t>
  </si>
  <si>
    <t>:A:-1:Income_Tax_EquityFin</t>
  </si>
  <si>
    <t>Expense_Oper_Variable["Subprojects.Catamarans", "Var_Expense_Accts.Fuel", DATE(2011,10,1)]|='(Compute)'!E8</t>
  </si>
  <si>
    <t>Inputs!Fin_Type_Wgts_Sc_FinTypes_Debt_Scenarios_Fin_Scenario_1_Subprojects_Catamarans_Invest_per_Subproject_Invest_1</t>
  </si>
  <si>
    <t>(Ranges)'!Valuation_EquityFin_Time_Period</t>
  </si>
  <si>
    <t>Inputs!Fin_Type_Wgts_Sc_FinTypes_Equity_Scenarios_Fin_Scenario_3_Subprojects_Catamarans_Invest_per_Subproject_Invest_2</t>
  </si>
  <si>
    <t>List of sub-projects that have separate financial models</t>
  </si>
  <si>
    <t>:D:0:CF_Equity_Fin</t>
  </si>
  <si>
    <t>:A:0:Cash_Flow_Work_Cap</t>
  </si>
  <si>
    <t>:A:-1:Lease_Rate</t>
  </si>
  <si>
    <t>Name of the investment project</t>
  </si>
  <si>
    <t>Cash flow of the project and subprojects, using blended financing if applicable.
This is the cash flow to equity holders. The principal components of the cash flow are + revenue - operating expense - gross fixed investments - working capital investments + borrowings - loan payments - lease payments - taxes.</t>
  </si>
  <si>
    <t>Canoes</t>
  </si>
  <si>
    <t>Investment!Fin_Type_Wgts_FinTypes_Debt_Subprojects_Canoes_Invest_per_Subproject_Invest_1</t>
  </si>
  <si>
    <t>(Ranges)'!EBITDA_plt_Time_Period</t>
  </si>
  <si>
    <t>:A:-1:Sales_Units_Growth_pct</t>
  </si>
  <si>
    <t>Investment!Fin_Type_Wgts_FinTypes_Debt_Subprojects</t>
  </si>
  <si>
    <t>(Ranges)'!DCF_plt_Subprojects_Canoes</t>
  </si>
  <si>
    <t>(Ranges)'!DCF_Cum_Subprojects_Catamarans</t>
  </si>
  <si>
    <t>preve(1, Discount_Factor/(1+Discount_Rate))</t>
  </si>
  <si>
    <t>:D:0:Invest_Fixed.Depreciable</t>
  </si>
  <si>
    <t>Working_Cap_pct_Rev["Subprojects.Canoes", "Working_Cap_Accts.Receivables"]|=0</t>
  </si>
  <si>
    <t>(Ranges)'!Expense_Oper_Variable_Subprojects_Catamarans</t>
  </si>
  <si>
    <t>Invest_Name["Subprojects.Canoes", "Invest_per_Subproject.Invest_1"]|=Labels!B183&amp;" Inv "&amp;1</t>
  </si>
  <si>
    <t>Income tax expense for 100% equity financing, by time period. Investment tax credit has not been subtracted at this point. The model does not include loss carried forward.
This variable does not enforce the constsraint that taxes are positive or zero, so that it can be used in blended financing.</t>
  </si>
  <si>
    <t>Tail_Growth_Rate_Early_Yr</t>
  </si>
  <si>
    <t>:A:0:Sales_Units_Growth_pct</t>
  </si>
  <si>
    <t>:A:-1:Cash_Flow_EquityFin</t>
  </si>
  <si>
    <t>Borrowing_Rate_Yr["Subprojects.Catamarans", "Invest_per_Subproject.Invest_2", DATE(2011,1,1)]|=E162</t>
  </si>
  <si>
    <t>:A:-1:Date_End</t>
  </si>
  <si>
    <t>Revenue growth rate in each time period, annualized. Segmented by subproject, product, and time period</t>
  </si>
  <si>
    <t>Fin_Type_Wgts_Sc["Scenarios_Fin.Scenario_1", "Subprojects.Canoes", "Invest_per_Subproject.Invest_1", "FinTypes.Lease"]|=0</t>
  </si>
  <si>
    <t>Var Expense Accts</t>
  </si>
  <si>
    <t>Sales_Units</t>
  </si>
  <si>
    <t>(Ranges)'!DCF_BlendedFin_CF_Blended_Interest_Pay_Subprojects</t>
  </si>
  <si>
    <t>Leasing Rate (Yr)</t>
  </si>
  <si>
    <t>Fin_Type_Wgts_Sc["Scenarios_Fin.Scenario_1", "Subprojects.Catamarans", "Invest_per_Subproject.Invest_1", "FinTypes.Equity"]|=1-sum(F144:G144)</t>
  </si>
  <si>
    <t>Expense_Oper_Fixed["Subprojects.Catamarans", "Fixed_Expense_Accts.Vehicles", DATE(2011,4,1)]|=if(or('(FnCalls 1)'!A8-'(FnCalls 1)'!A7&lt;=0, '(Tables)'!E38=0), 0, if(and('(Tables)'!E38=1, '(Tables)'!D38=0), E83, E102*1+E102*'(Tables)'!B100))</t>
  </si>
  <si>
    <t>:D:2:Invest_per_Subproject.Invest_1</t>
  </si>
  <si>
    <t>Expense_Oper_Fixed_Growth_pct_Yr_In["Subprojects.Catamarans", "Fixed_Expense_Accts.Vehicles", DATE(2011,7,1)]|=0</t>
  </si>
  <si>
    <t>Cash Flow - Working Cap</t>
  </si>
  <si>
    <t>Initial guess for annualized internal rate of return on investment, in the case of all-equity financing. 
The algorithm for computing IRR needs a starting guess.</t>
  </si>
  <si>
    <t>Components of fixed investment</t>
  </si>
  <si>
    <t>Net investment is gross investmnet less investment tax credit, segmented by subproject. The investment tax credit may be paid after the start of each subproject. The model assumes you must finance only net investment.
The effective net investment for leased assets is assumed to be less because parties that have title to the assets get the investment tax credit, and this reduces leasing costs.</t>
  </si>
  <si>
    <t>-Lease_Pay</t>
  </si>
  <si>
    <t>:A:-1:Invest_Time_Phys_Period</t>
  </si>
  <si>
    <t>Riskless_Rate_Yr[DATE(2011,4,1)]|=G130</t>
  </si>
  <si>
    <t>:A:0:Invest_Time_Depr_Period</t>
  </si>
  <si>
    <t>Expense_Oper_Variable["Subprojects.Canoes", "Var_Expense_Accts.Fuel", DATE(2011,10,1)]|='(Compute)'!E18</t>
  </si>
  <si>
    <t>(Ranges)'!EBIT_Subprojects_Canoes</t>
  </si>
  <si>
    <t>Total</t>
  </si>
  <si>
    <t>(1+irr(ranget(Cash_Flow_BlendedFin, model_date(1, -1), model_date(2)), (1+IRR_Guess_Yr)^(1/periods_per("year"))-1))^periods_per("year")-1</t>
  </si>
  <si>
    <t>Income_Tax_EquityFin</t>
  </si>
  <si>
    <t>Discount_Rate0_Yr["Subprojects.Catamarans", DATE(2011,7,1)]|=H121</t>
  </si>
  <si>
    <t>Income Tax - Equity Fin</t>
  </si>
  <si>
    <t>Display Label</t>
  </si>
  <si>
    <t>Expense_Oper_Fixed["Subprojects.Catamarans", "Fixed_Expense_Accts.Computers", DATE(2012,7,1)]|=if(or('(FnCalls 1)'!A13-'(FnCalls 1)'!A7&lt;=0, '(Tables)'!K38=0), 0, if(and('(Tables)'!K38=1, '(Tables)'!J38=0), E82, K101*1+K101*'(Tables)'!H99))</t>
  </si>
  <si>
    <t>:A:-1:Tail_Growth_Rate_Late_Yr</t>
  </si>
  <si>
    <t>Lease_Rate_Yr["Subprojects.Canoes", "Invest_per_Subproject.Invest_1", DATE(2012,4,1)]|=M176</t>
  </si>
  <si>
    <t>:A:0:Invest_Time_Phys_Period</t>
  </si>
  <si>
    <t>Debt_Principal_Chg</t>
  </si>
  <si>
    <t>Inputs!Fin_Type_Wgts_Sc_FinTypes_Lease_Scenarios_Fin_Scenario_1_Subprojects_Canoes_Invest_per_Subproject_Invest_1</t>
  </si>
  <si>
    <t>:A:0:EBIT</t>
  </si>
  <si>
    <t>:D:0:Invest_per_Subproject.Invest_1</t>
  </si>
  <si>
    <t>:A:-1:Deprec_Method_Tax</t>
  </si>
  <si>
    <t>:D:1:Scenarios_Fin</t>
  </si>
  <si>
    <t>Investment!Financial_Leverage_Subprojects_Canoes</t>
  </si>
  <si>
    <t>(Ranges)'!Expense_Oper_Variable_Date</t>
  </si>
  <si>
    <t>Inputs!Fin_Type_Wgts_Sc_FinTypes_Debt_Scenarios_Fin_Scenario_3_Subprojects_Canoes_Invest_per_Subproject_Invest_2</t>
  </si>
  <si>
    <t>Fin_Type_Wgts_Sc["Scenarios_Fin.Scenario_2", "Subprojects.Catamarans", "Invest_per_Subproject.Invest_2", "FinTypes.Debt"]|=0</t>
  </si>
  <si>
    <t>Long Time (period)</t>
  </si>
  <si>
    <t>Borrowing_Rate_Yr["Subprojects.Canoes", "Invest_per_Subproject.Invest_2", DATE(2010,10,1)]|=E163</t>
  </si>
  <si>
    <t>Income_Tax_Rate[DATE(2010,10,1)]|=0</t>
  </si>
  <si>
    <t>:A:-1:Tail_Discount_Rate</t>
  </si>
  <si>
    <t>DCF - Equity Fin</t>
  </si>
  <si>
    <t>Invest_Date["Subprojects.Canoes", "Invest_per_Subproject.Invest_2"]|=date(year('(FnCalls 1)'!A7), month('(FnCalls 1)'!A7)+round(2/0.3333333333333333333333333333+(-1)/0.3333333333333333333333333333, 0), day('(FnCalls 1)'!A7)-1)</t>
  </si>
  <si>
    <t>Expense_Oper_Variable_pct_Rev["Subprojects.Canoes", "Var_Expense_Accts.Fuel", DATE(2012,7,1)]|=K78</t>
  </si>
  <si>
    <t>:A:-1:Invest_Life_Phys_Yr</t>
  </si>
  <si>
    <t>rollup("FinTypes", rollup(sum),  ,  )</t>
  </si>
  <si>
    <t>:A:0:Tail_Future_Value_BlendFin</t>
  </si>
  <si>
    <t>Expense_Oper_Variable["Subprojects.Catamarans", "Var_Expense_Accts.Fuel", DATE(2012,10,1)]|='(Compute)'!J8</t>
  </si>
  <si>
    <t>Net income</t>
  </si>
  <si>
    <t>Discounted cash flow in case of 100% equity financing, during model time. Excludes tail at later times.</t>
  </si>
  <si>
    <t>Subprojects, CF_Blended.Debt_Principal</t>
  </si>
  <si>
    <t>(Ranges)'!EBITDA_plt_Subprojects_Canoes</t>
  </si>
  <si>
    <t>var(round(Invest_Life_Depr_Yr*periods_per("year"), 0))</t>
  </si>
  <si>
    <t>(Ranges)'!Revenue_Subprojects_Canoes</t>
  </si>
  <si>
    <t>Invest_Fixed_Resid_Value["Invest_Fixed.Non_Deprec", "Subprojects.Canoes", "Invest_per_Subproject.Invest_2"]|=E31</t>
  </si>
  <si>
    <t>:D:0:CF_Equity_Fin.EBITDA</t>
  </si>
  <si>
    <t xml:space="preserve">  Canoes</t>
  </si>
  <si>
    <t>if(Discount_Method="Direct", Discount_Rate0_Yr, if(Discount_Method="CAPM", (Riskless_Rate_Yr+Beta*Risk_Premium_Yr)*(1-Financial_Leverage)+Borrowing_Rate_Yr*(1-Income_Tax_Rate)*Financial_Leverage, 0))</t>
  </si>
  <si>
    <t>Invest_Fixed_Resid_Value["Invest_Fixed.Non_Deprec", "Subprojects.Canoes", "Invest_per_Subproject.Invest_1"]|=E30</t>
  </si>
  <si>
    <t>(Ranges)'!DCF_Cum_Date</t>
  </si>
  <si>
    <t>:A:-1:Expense_Oper_Fixed_Growth_pct_Yr_In</t>
  </si>
  <si>
    <t>:A:0:Valuation_EquityFin</t>
  </si>
  <si>
    <t>Invest_Fixed.Non_Deprec, Subprojects, Invest_per_Subproject</t>
  </si>
  <si>
    <t>Depreciation method used for computing taxes. It is one of "Linear" "SYD" and "DDB".</t>
  </si>
  <si>
    <t>Working_Cap_Initial["Subprojects.Canoes", "Working_Cap_Accts.Supplies_inventory"]|=0/2/2</t>
  </si>
  <si>
    <t>Financial Exp &amp; Tax</t>
  </si>
  <si>
    <t>(Ranges)'!Cash_Flow_Work_Cap_Subprojects_Catamarans_Working_Cap_Accts_Receivables</t>
  </si>
  <si>
    <t>(Ranges)'!Valuation_EquityFin_Subprojects</t>
  </si>
  <si>
    <t>:A:-1:Invest_Tax_Credit_Date</t>
  </si>
  <si>
    <t>EBIT</t>
  </si>
  <si>
    <t>Inputs!Fin_Type_Wgts_Sc_FinTypes_Lease_Scenarios_Fin_Scenario_3_Subprojects_Canoes_Invest_per_Subproject_Invest_1</t>
  </si>
  <si>
    <t>:A:0:EBIT_EquityFin</t>
  </si>
  <si>
    <t>:A:-1:Book_Value_Fixed_End</t>
  </si>
  <si>
    <t>(Ranges)'!DCF_plt_Date</t>
  </si>
  <si>
    <t>:A:-1:DCF_BlendedFin</t>
  </si>
  <si>
    <t>Revenue Annualized Growth</t>
  </si>
  <si>
    <t>:A:0:Date_End</t>
  </si>
  <si>
    <t>:A:0:Expense_Oper_Fixed</t>
  </si>
  <si>
    <t>:A:0:Cash_Flow_FixInv_EquityFin</t>
  </si>
  <si>
    <t>Investment!Fin_Type_Wgts_FinTypes_Debt_Subprojects_Canoes</t>
  </si>
  <si>
    <t>Lease_Balloon_Pay</t>
  </si>
  <si>
    <t>:A:0:EBITDA</t>
  </si>
  <si>
    <t>:A:0:Invest_Date</t>
  </si>
  <si>
    <t>(Ranges)'!Book_Value_Fixed_End_Subprojects_Catamarans_Invest_per_Subproject</t>
  </si>
  <si>
    <t/>
  </si>
  <si>
    <t>Expense_Oper_Variable["Subprojects.Catamarans", "Var_Expense_Accts.Maintenance", DATE(2012,10,1)]|='(Compute)'!J11</t>
  </si>
  <si>
    <t>Fin_Type_Wgts_Sc["Scenarios_Fin.Scenario_1", "Subprojects.Catamarans", "Invest_per_Subproject.Invest_2", "FinTypes.Debt"]|=0</t>
  </si>
  <si>
    <t>current_date(1)</t>
  </si>
  <si>
    <t>Book Value Fixed Invest</t>
  </si>
  <si>
    <t>Variable</t>
  </si>
  <si>
    <t>:D:1:CF_Blended</t>
  </si>
  <si>
    <t>FinTypes.Debt, Scenarios_Fin.Scenario_2, Subprojects, Invest_per_Subproject</t>
  </si>
  <si>
    <t>Net_Income</t>
  </si>
  <si>
    <t>Lease_Rate_Yr["Subprojects.Catamarans", "Invest_per_Subproject.Invest_1", DATE(2011,4,1)]|=G176</t>
  </si>
  <si>
    <t>Expense_Oper_Fixed["Subprojects.Catamarans", "Fixed_Expense_Accts.Vehicles", DATE(2011,1,1)]|=if(or('(FnCalls 1)'!A7-'(FnCalls 1)'!A7&lt;=0, '(Tables)'!D38=0), 0, if(and('(Tables)'!D38=1, '(Tables)'!B38=0), E83, 0*1+0*0))</t>
  </si>
  <si>
    <t>Avg ROC (Yr)</t>
  </si>
  <si>
    <t>Invest_Tax_Credit_Date["Subprojects.Canoes", "Invest_per_Subproject.Invest_2"]|=F20</t>
  </si>
  <si>
    <t>Valuation of the investment in each time period, as present value of total cash flow including tail value, using blended financing if applicable
Used only for plot support.</t>
  </si>
  <si>
    <t>Price_Average["Subprojects.Catamarans", "Products.Product_1", DATE(2011,7,1)]|=F57</t>
  </si>
  <si>
    <t>Project_Name[]|</t>
  </si>
  <si>
    <t>(Ranges)'!DCF_BlendedFin_CF_Blended_Income_Tax_Subprojects_Canoes</t>
  </si>
  <si>
    <t>Last(Cash_Flow_BlendedFin)*(Tail_FV_Early_Factor+Tail_FV_Late_Factor)</t>
  </si>
  <si>
    <t>Expense_Oper_Variable_pct_Rev["Subprojects.Canoes", "Var_Expense_Accts.Fuel", DATE(2011,7,1)]|=F78</t>
  </si>
  <si>
    <t>Invest per Subproject</t>
  </si>
  <si>
    <t>Borrowing_Rate_Yr["Subprojects.Canoes", "Invest_per_Subproject.Invest_2", DATE(2012,1,1)]|=J164</t>
  </si>
  <si>
    <t>Lease_Rate_Yr["Subprojects.Canoes", "Invest_per_Subproject.Invest_2", DATE(2011,1,1)]|=G177</t>
  </si>
  <si>
    <t>Borrowing_Rate_Yr["Subprojects.Canoes", "Invest_per_Subproject.Invest_1", DATE(2011,7,1)]|=H163</t>
  </si>
  <si>
    <t>Variable Operating Exp % Rev</t>
  </si>
  <si>
    <t>Expense_Oper_Fixed_Initial</t>
  </si>
  <si>
    <t>:D:2:FinTypes</t>
  </si>
  <si>
    <t>Fin_Type_Wgts_Sc["Scenarios_Fin.Scenario_1", "Subprojects.Catamarans", "Invest_per_Subproject.Invest_1", "FinTypes.Debt"]|=0</t>
  </si>
  <si>
    <t>Depreciation of depreciable investment (excluding salvage value), using specified depreciation method, segmented by subproject and by time period. Assets that are leased have no depreciation expense in the model.</t>
  </si>
  <si>
    <t>Discount rate for computing present values of cash flows, by time period. If discount method is "Direct" then use specified numerical input; if discount method is "CAPM" then use the capital asset procing model formula for the discount rate in terms of riskless return, beta, risk premium and debt ratio.</t>
  </si>
  <si>
    <t>Valuation of the investment in each time period, as present value of cash flow including tail value, using equity financing</t>
  </si>
  <si>
    <t>Expense_Oper_Fixed_Growth_pct_Yr_In["Subprojects.Canoes", "Fixed_Expense_Accts.Computers", DATE(2012,1,1)]|=0</t>
  </si>
  <si>
    <t>Initial Sales Units</t>
  </si>
  <si>
    <t>Borrowing_Rate_Yr["Subprojects.Catamarans", "Invest_per_Subproject.Invest_2", DATE(2011,10,1)]|=I162</t>
  </si>
  <si>
    <t>Tail Discount Rate</t>
  </si>
  <si>
    <t>Investment tax credit, segmented by subproject. Applies only to depreciable investment. Excludes leased assets because the project does not get the investment tax credit for these assets.</t>
  </si>
  <si>
    <t>Invest_Fixed_Resid_Value["Invest_Fixed.Depreciable", "Subprojects.Canoes", "Invest_per_Subproject.Invest_1"]|=0</t>
  </si>
  <si>
    <t xml:space="preserve">  Computers</t>
  </si>
  <si>
    <t>(Ranges)'!EBITDA_Time_Period</t>
  </si>
  <si>
    <t>Discount_Factor</t>
  </si>
  <si>
    <t>:A:-1:Riskless_Rate</t>
  </si>
  <si>
    <t>Return_on_Cap_Avg_Yr</t>
  </si>
  <si>
    <t>Inv Tax Credit</t>
  </si>
  <si>
    <t>(Ranges)'!DCF_BlendedFin_CF_Blended_Inv_Tax_Credit_Subprojects_Canoes</t>
  </si>
  <si>
    <t>Price_Average["Subprojects.Canoes", "Products.Product_1", DATE(2012,10,1)]|=L58</t>
  </si>
  <si>
    <t>Working_Cap_Residual_pct["Subprojects.Canoes", "Working_Cap_Accts.Supplies_inventory"]|=0</t>
  </si>
  <si>
    <t>:D:2:FinTypes.Equity</t>
  </si>
  <si>
    <t>Cash_Flow_plt</t>
  </si>
  <si>
    <t>Subprojects, Invest_per_Subproject</t>
  </si>
  <si>
    <t>(Ranges)'!Net_Income_plt_Time_Period</t>
  </si>
  <si>
    <t>The discount factor to convert a cash flow at the end of a time period to a present value at the start of model time</t>
  </si>
  <si>
    <t>Percentage of depreciable investment that determines investment tax credit, segmented by subproject</t>
  </si>
  <si>
    <t>:A:-1:DCF_EquityFin</t>
  </si>
  <si>
    <t>:A:0:Tail_Future_Value_EqFin</t>
  </si>
  <si>
    <t>(Ranges)'!Expense_Oper_Fixed_Subprojects</t>
  </si>
  <si>
    <t>(Ranges)'!Revenue_Subprojects_Canoes_Products</t>
  </si>
  <si>
    <t>:A:-1:Working_Cap_pct_Rev</t>
  </si>
  <si>
    <t>:A:-1:Expense_Oper_Variable_pct_Rev</t>
  </si>
  <si>
    <t>Lease_Balloon_Pay["Invest_per_Subproject.Invest_2", "Subprojects.Canoes"]|=0/2/2</t>
  </si>
  <si>
    <t>(Ranges)'!Expense_Oper_Fixed_Date</t>
  </si>
  <si>
    <t>:A:-1:Date_Start</t>
  </si>
  <si>
    <t>Discount_Rate0_Yr["Subprojects.Canoes", DATE(2012,10,1)]|=O121</t>
  </si>
  <si>
    <t>Book value of the investment project at the end of each time period. The model does not include cash withdrawals from the business, so book value can be positive after operations have ceased.
Used only for plot support.</t>
  </si>
  <si>
    <t>Expense_Oper_Fixed_Growth_pct_Yr_In["Subprojects.Canoes", "Fixed_Expense_Accts.Vehicles", DATE(2012,10,1)]|=0</t>
  </si>
  <si>
    <t>Price_Average["Subprojects.Catamarans", "Products.Product_1", DATE(2012,1,1)]|=H57</t>
  </si>
  <si>
    <t>:A:0:Invest_Age_Depr_Period</t>
  </si>
  <si>
    <t>Sales Units Growth %</t>
  </si>
  <si>
    <t>(Ranges)'!DCF_Cum_Subprojects_Canoes</t>
  </si>
  <si>
    <t>:A:-1:Cash_Flow_plt</t>
  </si>
  <si>
    <t>var(if(Invest_Time_Depr_Period&gt;0, if(Deprec_Method_Tax="Linear", SLN(Invest_Fixed_Gross["Invest_Fixed.Depreciable"], Invest_Fixed_Resid_Value["Invest_Fixed.Depreciable"], Invest_Life_Depr_Period), if(Deprec_Method_Tax="SYD", SYD(Invest_Fixed_Gross["Invest_Fixed.Depreciable"], Invest_Fixed_Resid_Value["Invest_Fixed.Depreciable"], Invest_Time_Depr_Period, Invest_Life_Depr_Period), DDB(Invest_Fixed_Gross["Invest_Fixed.Depreciable"], Invest_Fixed_Resid_Value["Invest_Fixed.Depreciable"], Invest_Time_Depr_Period, Invest_Life_Depr_Period-1))), 0))</t>
  </si>
  <si>
    <t>Invest_Fixed_Gross["Invest_Fixed.Non_Deprec"]</t>
  </si>
  <si>
    <t>Last(Cash_Flow_EquityFin)*(Tail_FV_Early_Factor+Tail_FV_Late_Factor)</t>
  </si>
  <si>
    <t>Lease_Rate_Yr["Subprojects.Canoes", "Invest_per_Subproject.Invest_1", DATE(2011,7,1)]|=I176</t>
  </si>
  <si>
    <t>Invest_Age_Depr_Period</t>
  </si>
  <si>
    <t>Fin_Type_Wgts_Sc["Scenarios_Fin.Scenario_3", "Subprojects.Canoes", "Invest_per_Subproject.Invest_1", "FinTypes.Lease"]|=0</t>
  </si>
  <si>
    <t>Project Test</t>
  </si>
  <si>
    <t>:A:-1:Revenue_Growth_pct_Yr</t>
  </si>
  <si>
    <t>:A:-1:Valuation_plt</t>
  </si>
  <si>
    <t>Debt Interest Payments</t>
  </si>
  <si>
    <t>EBITDA-Deprec_Expense_EquityFin-Working_Cap_Amort</t>
  </si>
  <si>
    <t>Investment!Fin_Type_Wgts_FinTypes_Debt_Subprojects_Canoes_Invest_per_Subproject_Invest_2</t>
  </si>
  <si>
    <t>:A:0:Lease_Rate_Yr</t>
  </si>
  <si>
    <t>Fin_Type_Wgts_Sc["Scenarios_Fin.Scenario_1", "Subprojects.Canoes", "Invest_per_Subproject.Invest_1", "FinTypes.Equity"]|=1-sum(F146:G146)</t>
  </si>
  <si>
    <t>:A:0:Financing_Scenario</t>
  </si>
  <si>
    <t>Borrowing_Rate_Yr["Subprojects.Canoes", "Invest_per_Subproject.Invest_1", DATE(2011,1,1)]|=E163</t>
  </si>
  <si>
    <t>(Ranges)'!Capital_Average_Date</t>
  </si>
  <si>
    <t>Revenue["Subprojects.Canoes", "Products.Product_1", DATE(2011,10,1)]|=H58*H64</t>
  </si>
  <si>
    <t>Lease_Rate_Yr["Subprojects.Canoes", "Invest_per_Subproject.Invest_1", DATE(2010,10,1)]|=E176</t>
  </si>
  <si>
    <t>:D:2:FinTax</t>
  </si>
  <si>
    <t>Late Growth % (Yr)</t>
  </si>
  <si>
    <t>:D:2:CF_Blended.EBITDA</t>
  </si>
  <si>
    <t>:D:0:FinTypes.Debt</t>
  </si>
  <si>
    <t>Invest Depr Life (periods)</t>
  </si>
  <si>
    <t>Fin_Type_Wgts_Sc["Scenarios_Fin.Scenario_1", "Subprojects.Canoes", "Invest_per_Subproject.Invest_1", "FinTypes.Debt"]|=0</t>
  </si>
  <si>
    <t>Revenue["Subprojects.Canoes", "Products.Product_1", DATE(2011,7,1)]|=G58*G64</t>
  </si>
  <si>
    <t>CF_Blended</t>
  </si>
  <si>
    <t>Subprojects, CF_Blended.Income_Tax</t>
  </si>
  <si>
    <t>:A:-1:Cash_Flow_BlendedFin</t>
  </si>
  <si>
    <t>Riskless_Rate_Yr[DATE(2011,10,1)]|=I130</t>
  </si>
  <si>
    <t>(Ranges)'!Book_Value_Fixed_End_Subprojects_Catamarans</t>
  </si>
  <si>
    <t>Discount_Rate_Yr</t>
  </si>
  <si>
    <t>(Ranges)'!DCF_BlendedFin_CF_Blended_Lease_Pay</t>
  </si>
  <si>
    <t>:A:0:Discount_Factor</t>
  </si>
  <si>
    <t>Expense_Oper_Fixed["Subprojects.Catamarans", "Fixed_Expense_Accts.Vehicles", DATE(2012,10,1)]|=if(or('(FnCalls 1)'!A14-'(FnCalls 1)'!A7&lt;=0, '(Tables)'!L38=0), 0, if(and('(Tables)'!L38=1, '(Tables)'!K38=0), E83, L102*1+L102*'(Tables)'!I100))</t>
  </si>
  <si>
    <t>Initial Fixed Operating Expense</t>
  </si>
  <si>
    <t>Invest_Tax_Credit_Date</t>
  </si>
  <si>
    <t>Investment!Fin_Type_Wgts_FinTypes_Lease_Subprojects_Catamarans</t>
  </si>
  <si>
    <t>var(if(or(datediff(current_date(-1), model_date(1))&lt;=0, Invest_Time_Phys_Period=0), 0, if(and(Invest_Time_Phys_Period=1, preve(0, Invest_Time_Phys_Period)=0), Expense_Oper_Fixed_Initial, (1+next(preve(0, Expense_Oper_Fixed_Growth_pct)))*preve(0, Expense_Oper_Fixed))))</t>
  </si>
  <si>
    <t>:A:-1:Sales_Units_Initial</t>
  </si>
  <si>
    <t>FinTypes, Subprojects, Invest_per_Subproject</t>
  </si>
  <si>
    <t>(Ranges)'!Cash_Flow_Work_Cap_Subprojects_Canoes_Working_Cap_Accts_Supplies_inventory</t>
  </si>
  <si>
    <t>Expense_Oper_Fixed_Growth_pct_Yr_In["Subprojects.Catamarans", "Fixed_Expense_Accts.Vehicles", DATE(2011,10,1)]|=0</t>
  </si>
  <si>
    <t>Sales_Units_Growth_pct_Yr["Subprojects.Canoes", "Products.Product_1", DATE(2011,4,1)]|=0</t>
  </si>
  <si>
    <t xml:space="preserve">  Maintenance</t>
  </si>
  <si>
    <t>Inputs!Fin_Type_Wgts_Sc_FinTypes_Debt_Scenarios_Fin_Scenario_3_Subprojects_Catamarans_Invest_per_Subproject_Invest_1</t>
  </si>
  <si>
    <t>(1+Tail_Discount_Rate_Yr)^(1/periods_per("year"))-1</t>
  </si>
  <si>
    <t>Level As</t>
  </si>
  <si>
    <t>Expense_Oper_Fixed["Subprojects.Canoes", "Fixed_Expense_Accts.Computers", DATE(2011,4,1)]|=if(or('(FnCalls 1)'!A8-'(FnCalls 1)'!A7&lt;=0, '(Tables)'!E42=0), 0, if(and('(Tables)'!E42=1, '(Tables)'!D42=0), F82, E103*1+E103*'(Tables)'!B103))</t>
  </si>
  <si>
    <t>:D:0:Working_Cap_Accts.Supplies_inventory</t>
  </si>
  <si>
    <t>:A:0:Invest_First_Date</t>
  </si>
  <si>
    <t>Global</t>
  </si>
  <si>
    <t>:A:0:IRR_Yr</t>
  </si>
  <si>
    <t>:A:-1:IRR_Guess_Yr_EquityFin</t>
  </si>
  <si>
    <t>(Ranges)'!Cash_Flow_plt_Subprojects_Catamarans</t>
  </si>
  <si>
    <t>End Date</t>
  </si>
  <si>
    <t>Borrowing_Rate_Yr["Subprojects.Canoes", "Invest_per_Subproject.Invest_1", DATE(2012,1,1)]|=J163</t>
  </si>
  <si>
    <t>Invest_Life_Phys_Yr["Subprojects.Canoes", "Invest_per_Subproject.Invest_1"]|=8</t>
  </si>
  <si>
    <t>Contains start dates for time periods that can extend outside of model time</t>
  </si>
  <si>
    <t>Scenarios_Fin</t>
  </si>
  <si>
    <t>Price_Average["Subprojects.Canoes", "Products.Product_1", DATE(2011,10,1)]|=G58</t>
  </si>
  <si>
    <t>Price_Average["Subprojects.Catamarans", "Products.Product_1", DATE(2011,4,1)]|=E57</t>
  </si>
  <si>
    <t>(Ranges)'!EBIT_Subprojects_Catamarans</t>
  </si>
  <si>
    <t>(1+Expense_Oper_Fixed_Growth_pct_Yr_In)^(1/periods_per("year"))-1</t>
  </si>
  <si>
    <t>Early Growth % (Yr)</t>
  </si>
  <si>
    <t>Expense_Oper_Variable_pct_Rev["Subprojects.Catamarans", "Var_Expense_Accts.Fuel", DATE(2012,10,1)]|=L76</t>
  </si>
  <si>
    <t>:A:0:Sales_Units_Growth_pct_Yr</t>
  </si>
  <si>
    <t>Change Debt Principal</t>
  </si>
  <si>
    <t>ifm(var(datediff(current_date(1), model_date(1))&lt;0), 0, -Income_Tax_Rate*(EBITDA+Cash_Flow_BlendedFin["CF_Blended.Interest_Pay"]+Cash_Flow_BlendedFin["CF_Blended.Lease_Pay"]))</t>
  </si>
  <si>
    <t>0.5*(preve(0, Book_Value_Fixed_End)+Book_Value_End)</t>
  </si>
  <si>
    <t>Discount_Rate0_Yr["Subprojects.Canoes", DATE(2012,1,1)]|=L121</t>
  </si>
  <si>
    <t>(Ranges)'!Revenue_Subprojects_Catamarans_Products</t>
  </si>
  <si>
    <t>Inputs!Fin_Type_Wgts_Sc_FinTypes_Lease_Scenarios_Fin_Scenario_2_Subprojects_Canoes_Invest_per_Subproject_Invest_2</t>
  </si>
  <si>
    <t xml:space="preserve">  Interest_Pay</t>
  </si>
  <si>
    <t>Comment</t>
  </si>
  <si>
    <t>:A:-1:NPV_EquityFin</t>
  </si>
  <si>
    <t>Riskless_Rate_Yr[DATE(2010,10,1)]|=0.04</t>
  </si>
  <si>
    <t>:A:-1:Working_Cap_Residual_pct</t>
  </si>
  <si>
    <t>Expense_Oper_Variable_pct_Rev["Subprojects.Catamarans", "Var_Expense_Accts.Maintenance", DATE(2012,4,1)]|=J77</t>
  </si>
  <si>
    <t xml:space="preserve">  Depreciable</t>
  </si>
  <si>
    <t>var(if(Invest_Time_Depr_Period=0, 0, -pmt(Lease_Rate, Invest_Life_Depr_Yr*periods_per("year"), Fin_Type_Wgts["FinTypes.Lease"]*Invest_Fixed_Net))+if(Invest_Time_Depr_Period=Invest_Life_Depr_Period, Fin_Type_Wgts["FinTypes.Lease"]*Lease_Balloon_Pay, 0))</t>
  </si>
  <si>
    <t>:D:2:Var_Expense_Accts.Fuel</t>
  </si>
  <si>
    <t>:D:0:CF_Blended.Interest_Pay</t>
  </si>
  <si>
    <t>Expense_Oper_Variable_pct_Rev["Subprojects.Canoes", "Var_Expense_Accts.Maintenance", DATE(2012,1,1)]|=H79</t>
  </si>
  <si>
    <t>if(preve(0, Revenue)=0, 0, (Revenue/preve(0, Revenue))^periods_per("year")-1)</t>
  </si>
  <si>
    <t>Working_Cap_Amort</t>
  </si>
  <si>
    <t>Expense_Oper_Fixed</t>
  </si>
  <si>
    <t>Fixed Investment</t>
  </si>
  <si>
    <t>Lease_Rate_Yr["Subprojects.Canoes", "Invest_per_Subproject.Invest_1", DATE(2011,1,1)]|=G176</t>
  </si>
  <si>
    <t>Riskless Discount Rate</t>
  </si>
  <si>
    <t>Tail Late FV Factor</t>
  </si>
  <si>
    <t>Working_Cap_pct_Rev["Subprojects.Canoes", "Working_Cap_Accts.Supplies_inventory"]|=0</t>
  </si>
  <si>
    <t>:A:0:Working_Cap_Amort</t>
  </si>
  <si>
    <t>(Ranges)'!Book_Value_Fixed_End_Subprojects_Canoes</t>
  </si>
  <si>
    <t>:D:0:Invest_Fixed.Non_Deprec</t>
  </si>
  <si>
    <t>Invest_Date["Subprojects.Catamarans", "Invest_per_Subproject.Invest_2"]|=date(year('(FnCalls 1)'!A7), month('(FnCalls 1)'!A7)+round(1/0.3333333333333333333333333333+(-1)/0.3333333333333333333333333333, 0), day('(FnCalls 1)'!A7)-1)</t>
  </si>
  <si>
    <t>Sales_Units_Growth_pct_Yr["Subprojects.Canoes", "Products.Product_1", DATE(2012,4,1)]|=J55</t>
  </si>
  <si>
    <t>Net income is EBITDA (revenue less operating expense), less depreciation and amortization (which yields EBIT), less interest expense, lease costs, and income tax.</t>
  </si>
  <si>
    <t>:A:0:Tail_Growth_Rate_Early</t>
  </si>
  <si>
    <t>Expense_Oper_Variable["Subprojects.Catamarans", "Var_Expense_Accts.Fuel", DATE(2012,4,1)]|='(Compute)'!H8</t>
  </si>
  <si>
    <t>(1+Tail_Growth_Rate_Early_Yr)^(1/periods_per("year"))-1</t>
  </si>
  <si>
    <t>Fin_Type_Wgts_Sc["Scenarios_Fin.Scenario_1", "Subprojects.Canoes", "Invest_per_Subproject.Invest_2", "FinTypes.Lease"]|=0</t>
  </si>
  <si>
    <t>CF Blended</t>
  </si>
  <si>
    <t>var(0)</t>
  </si>
  <si>
    <t>Cash_Flow_Work_Cap</t>
  </si>
  <si>
    <t>Risk_Premium_Yr[DATE(2011,1,1)]|=E132</t>
  </si>
  <si>
    <t xml:space="preserve">  Working_Cap</t>
  </si>
  <si>
    <t>Invest_Date</t>
  </si>
  <si>
    <t>Invest_Fixed</t>
  </si>
  <si>
    <t>Average Capital</t>
  </si>
  <si>
    <t>Lease_Rate_Yr["Subprojects.Canoes", "Invest_per_Subproject.Invest_1", DATE(2011,4,1)]|=H176</t>
  </si>
  <si>
    <t>:D:0:Fixed_Expense_Accts</t>
  </si>
  <si>
    <t>(Ranges)'!DCF_Cum_plt_Subprojects_Canoes</t>
  </si>
  <si>
    <t>Expense_Oper_Variable["Subprojects.Canoes", "Var_Expense_Accts.Maintenance", DATE(2011,1,1)]|='(Compute)'!B21</t>
  </si>
  <si>
    <t>Expense_Oper_Fixed["Subprojects.Catamarans", "Fixed_Expense_Accts.Computers", DATE(2012,1,1)]|=if(or('(FnCalls 1)'!A11-'(FnCalls 1)'!A7&lt;=0, '(Tables)'!I38=0), 0, if(and('(Tables)'!I38=1, '(Tables)'!G38=0), E82, H101*1+H101*'(Tables)'!F99))</t>
  </si>
  <si>
    <t>Fin_Type_Wgts_Sc["Scenarios_Fin.Scenario_3", "Subprojects.Catamarans", "Invest_per_Subproject.Invest_2", "FinTypes.Equity"]|=1-sum(F153:G153)</t>
  </si>
  <si>
    <t>Sales_Units_Initial["Products.Product_1", "Subprojects.Catamarans"]|=0</t>
  </si>
  <si>
    <t>Expense_Oper_Fixed_Growth_pct</t>
  </si>
  <si>
    <t>:D:2:Fixed_Expense_Accts</t>
  </si>
  <si>
    <t>Lease Payments</t>
  </si>
  <si>
    <t>:A:-1:Tail_Discount_Rate_Yr</t>
  </si>
  <si>
    <t>Annualized risk premium in the capital asset pricing model, by time period</t>
  </si>
  <si>
    <t>preve(-1/periods_per("year"))+1/periods_per("year")</t>
  </si>
  <si>
    <t>:A:0:Lease_Rate</t>
  </si>
  <si>
    <t>:A:-1:Expense_Oper_Fixed</t>
  </si>
  <si>
    <t>Lease_Rate_Yr["Subprojects.Catamarans", "Invest_per_Subproject.Invest_1", DATE(2010,10,1)]|=0</t>
  </si>
  <si>
    <t>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t>
  </si>
  <si>
    <t>Expense_Oper_Variable_pct_Rev["Subprojects.Canoes", "Var_Expense_Accts.Maintenance", DATE(2011,1,1)]|=0</t>
  </si>
  <si>
    <t>(Ranges)'!Valuation_plt_Subprojects</t>
  </si>
  <si>
    <t>rollup(true, last(), "Invest_Per_Subproject", min(1, minr(rangedru("Invest_per_Subproject", Invest_Time_Depr_Period, true))))</t>
  </si>
  <si>
    <t>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t>
  </si>
  <si>
    <t>A list of the components of financial and tax expense</t>
  </si>
  <si>
    <t>(Ranges)'!Book_Value_End_Subprojects_Catamarans</t>
  </si>
  <si>
    <t>Invest_Fixed_Resid_Value["Invest_Fixed.Depreciable", "Subprojects.Catamarans", "Invest_per_Subproject.Invest_1"]|=0</t>
  </si>
  <si>
    <t>Cash flow of the project and subprojects, using blended financing if applicable. 
Used only for plot support.</t>
  </si>
  <si>
    <t>Tax Deprec Method</t>
  </si>
  <si>
    <t>:A:0:Expense_Oper_Fixed_Growth_pct_Yr_In</t>
  </si>
  <si>
    <t>Working_Cap_Initial</t>
  </si>
  <si>
    <t>Lease_Balloon_Pay["Invest_per_Subproject.Invest_1", "Subprojects.Catamarans"]|=0/2/2</t>
  </si>
  <si>
    <t>Name of the company</t>
  </si>
  <si>
    <t>:A:0:Tail_Growth_Rate_Late</t>
  </si>
  <si>
    <t>:D:0:Products.Product_1</t>
  </si>
  <si>
    <t>(Ranges)'!Book_Value_Fixed_End_Subprojects_Canoes_Invest_per_Subproject</t>
  </si>
  <si>
    <t>:A:-1:Invest_First_Date</t>
  </si>
  <si>
    <t>Borrowing Rate</t>
  </si>
  <si>
    <t>:D:-1:FinTax</t>
  </si>
  <si>
    <t>NPV_BlendedFin</t>
  </si>
  <si>
    <t>Financing_Scenario[]|</t>
  </si>
  <si>
    <t>Tail_Growth_Rate_Late_Yr</t>
  </si>
  <si>
    <t>Vehicles</t>
  </si>
  <si>
    <t>Expense_Oper_Variable["Subprojects.Canoes", "Var_Expense_Accts.Fuel", DATE(2011,7,1)]|='(Compute)'!D18</t>
  </si>
  <si>
    <t>Fin_Type_Wgts_Sc["Scenarios_Fin.Scenario_2", "Subprojects.Canoes", "Invest_per_Subproject.Invest_1", "FinTypes.Equity"]|=1-sum(F150:G150)</t>
  </si>
  <si>
    <t>Model Start</t>
  </si>
  <si>
    <t>Expense_Oper_Fixed["Subprojects.Catamarans", "Fixed_Expense_Accts.Computers", DATE(2012,10,1)]|=if(or('(FnCalls 1)'!A14-'(FnCalls 1)'!A7&lt;=0, '(Tables)'!L38=0), 0, if(and('(Tables)'!L38=1, '(Tables)'!K38=0), E82, L101*1+L101*'(Tables)'!I99))</t>
  </si>
  <si>
    <t>Debt_Balloon_Pay</t>
  </si>
  <si>
    <t>(Ranges)'!Valuation_plt_Date</t>
  </si>
  <si>
    <t>(Ranges)'!Expense_Oper_Variable_Subprojects_Catamarans_Var_Expense_Accts_Fuel</t>
  </si>
  <si>
    <t>Fin_Type_Wgts_Sc["Scenarios_Fin.Scenario_3", "Subprojects.Catamarans", "Invest_per_Subproject.Invest_1", "FinTypes.Debt"]|=0</t>
  </si>
  <si>
    <t>Tail_Discount_Rate_Yr[]|</t>
  </si>
  <si>
    <t>:A:-1:Working_Cap_Initial</t>
  </si>
  <si>
    <t>Lease_Rate_Yr["Subprojects.Canoes", "Invest_per_Subproject.Invest_1", DATE(2012,1,1)]|=L176</t>
  </si>
  <si>
    <t>Borrowing_Rate_Yr["Subprojects.Catamarans", "Invest_per_Subproject.Invest_2", DATE(2011,4,1)]|=G162</t>
  </si>
  <si>
    <t>:A:0:Expense_Oper_Variable</t>
  </si>
  <si>
    <t>Expense_Oper_Variable_pct_Rev["Subprojects.Canoes", "Var_Expense_Accts.Maintenance", DATE(2012,10,1)]|=L79</t>
  </si>
  <si>
    <t>Physical life of the depreciable asset, expressed in years. Values should be multiples of the time grain. At the end of physical life, salvage value of assets is realized, and he asset is no longer available.</t>
  </si>
  <si>
    <t>(Ranges)'!Book_Value_End_Date</t>
  </si>
  <si>
    <t>Financing Weights</t>
  </si>
  <si>
    <t>Risk_Premium_Yr[DATE(2011,4,1)]|=G132</t>
  </si>
  <si>
    <t>Expense_Oper_Variable_pct_Rev["Subprojects.Catamarans", "Var_Expense_Accts.Maintenance", DATE(2011,1,1)]|=0</t>
  </si>
  <si>
    <t>Inputs!Fin_Type_Wgts_Sc_FinTypes_Equity_Scenarios_Fin_Scenario_2_Subprojects_Catamarans_Invest_per_Subproject_Invest_1</t>
  </si>
  <si>
    <t>Discount_Rate0_Yr["Subprojects.Catamarans", DATE(2011,1,1)]|=E121</t>
  </si>
  <si>
    <t>Fin_Type_Wgts_Sc["Scenarios_Fin.Scenario_1", "Subprojects.Canoes", "Invest_per_Subproject.Invest_2", "FinTypes.Equity"]|=1-sum(F147:G147)</t>
  </si>
  <si>
    <t>Fin_Type_Wgts_Sc["Scenarios_Fin.Scenario_3", "Subprojects.Canoes", "Invest_per_Subproject.Invest_2", "FinTypes.Lease"]|=0</t>
  </si>
  <si>
    <t>(Ranges)'!DCF_BlendedFin_CF_Blended_Debt_Principal_Subprojects</t>
  </si>
  <si>
    <t>Expense_Oper_Fixed["Subprojects.Catamarans", "Fixed_Expense_Accts.Computers", DATE(2011,10,1)]|=if(or('(FnCalls 1)'!A10-'(FnCalls 1)'!A7&lt;=0, '(Tables)'!G38=0), 0, if(and('(Tables)'!G38=1, '(Tables)'!F38=0), E82, G101*1+G101*'(Tables)'!D99))</t>
  </si>
  <si>
    <t>Inputs!Fin_Type_Wgts_Sc_FinTypes_Debt_Scenarios_Fin_Scenario_2_Subprojects_Canoes_Invest_per_Subproject_Invest_1</t>
  </si>
  <si>
    <t>Working Capital Residual %</t>
  </si>
  <si>
    <t>Book Value Fixed Inv (Start)</t>
  </si>
  <si>
    <t>Cash Flow</t>
  </si>
  <si>
    <t xml:space="preserve">  Vehicles</t>
  </si>
  <si>
    <t>Borrowing_Rate_Yr["Subprojects.Catamarans", "Invest_per_Subproject.Invest_1", DATE(2012,4,1)]|=L161</t>
  </si>
  <si>
    <t>:D:-1:Var_Expense_Accts</t>
  </si>
  <si>
    <t>(Ranges)'!Cash_Flow_Work_Cap_Subprojects_Catamarans_Working_Cap_Accts_Supplies_inventory</t>
  </si>
  <si>
    <t>Borrowing_Rate_Yr["Subprojects.Catamarans", "Invest_per_Subproject.Invest_1", DATE(2011,10,1)]|=I161</t>
  </si>
  <si>
    <t>Debt Balloon Payment</t>
  </si>
  <si>
    <t>Inputs!Fin_Type_Wgts_Sc_FinTypes_Lease_Scenarios_Fin_Scenario_2_Subprojects_Canoes_Invest_per_Subproject_Invest_1</t>
  </si>
  <si>
    <t>Fixed Expense Accts</t>
  </si>
  <si>
    <t>Average annualized return on capital during model time (excluding the cash flow in the tail after model time)</t>
  </si>
  <si>
    <t>Price_Average["Subprojects.Canoes", "Products.Product_1", DATE(2011,4,1)]|=E58</t>
  </si>
  <si>
    <t>ModelSheet Software</t>
  </si>
  <si>
    <t xml:space="preserve">  Fuel</t>
  </si>
  <si>
    <t>(Ranges)'!EBITDA_plt_Subprojects_Catamarans</t>
  </si>
  <si>
    <t>:A:-1:DCF_Cum_plt</t>
  </si>
  <si>
    <t>Sales_Units_Growth_pct_Yr["Subprojects.Catamarans", "Products.Product_1", DATE(2011,7,1)]|=F54</t>
  </si>
  <si>
    <t>:A:-1:Tail_FV_Early_Factor</t>
  </si>
  <si>
    <t>Date on which the first fixed investment is made</t>
  </si>
  <si>
    <t>Expense_Oper_Variable_pct_Rev["Subprojects.Catamarans", "Var_Expense_Accts.Fuel", DATE(2011,1,1)]|=0</t>
  </si>
  <si>
    <t>Invest 2</t>
  </si>
  <si>
    <t>Riskless Discount Rate (Yr)</t>
  </si>
  <si>
    <t>Subprojects, CF_Blended.Interest_Pay</t>
  </si>
  <si>
    <t>Sales_Units["Subprojects.Catamarans", "Products.Product_1", DATE(2012,4,1)]|=if('(Tables)'!J38=0, 0, if(and('(Tables)'!J38=1, '(Tables)'!I38=0), E51, J63*1+J63*'(Tables)'!G55))</t>
  </si>
  <si>
    <t>Price_Average["Subprojects.Canoes", "Products.Product_1", DATE(2012,7,1)]|=K58</t>
  </si>
  <si>
    <t>Lease Pay</t>
  </si>
  <si>
    <t>Financial and tax expense, segmented by type of expense (such as interest, lease expense, income tax), and by sub-project and time period</t>
  </si>
  <si>
    <t>(Ranges)'!Book_Value_Fixed_End_Subprojects_Catamarans_Invest_per_Subproject_Invest_2</t>
  </si>
  <si>
    <t>Expense_Oper_Variable</t>
  </si>
  <si>
    <t>Investment!Fin_Type_Wgts_FinTypes_Debt</t>
  </si>
  <si>
    <t>Expense_Oper_Fixed_Initial["Fixed_Expense_Accts.Computers", "Subprojects.Catamarans"]|=0</t>
  </si>
  <si>
    <t>Invest_Life_Depr_Period</t>
  </si>
  <si>
    <t>(1+IRR(ranget(Cash_Flow_EquityFin, model_date(1, -1), model_date(2)), (1+IRR_Guess_Yr_EquityFin)^(1/periods_per("year"))-1))^periods_per("year")-1</t>
  </si>
  <si>
    <t>Investment!Fin_Type_Wgts_FinTypes_Equity_Subprojects_Canoes_Invest_per_Subproject_Invest_2</t>
  </si>
  <si>
    <t>Invest_Fixed_Gross["Invest_Fixed.Depreciable", "Subprojects.Catamarans", "Invest_per_Subproject.Invest_2"]|=0</t>
  </si>
  <si>
    <t>ifm(datediff(current_date(-1), model_date(1))&lt;0, 0, EBITDA)</t>
  </si>
  <si>
    <t>:D:0:CF_Blended.EBITDA</t>
  </si>
  <si>
    <t>Present value at start of model time of cash flows that occur after the end of model time. Cash flows after model time are projected from cash flows (that assume equity-only financing) in the last period of model time and user-specified growth rates.</t>
  </si>
  <si>
    <t>:A:-1:Deprec_Expense_Tax</t>
  </si>
  <si>
    <t>:A:0:Lease_Balloon_Pay</t>
  </si>
  <si>
    <t>Expense_Oper_Fixed_Initial["Fixed_Expense_Accts.Vehicles", "Subprojects.Canoes"]|=0</t>
  </si>
  <si>
    <t>Deprec Life (Yr)</t>
  </si>
  <si>
    <t>Cumulative discounted cash flow of the project and subprojects, using blended financing if applicable</t>
  </si>
  <si>
    <t>Fin_Type_Wgts_Sc</t>
  </si>
  <si>
    <t>(Ranges)'!DCF_BlendedFin_CF_Blended_Income_Tax_Subprojects</t>
  </si>
  <si>
    <t>Return on sales % is (EBIT less tax) / Revenue, by time period</t>
  </si>
  <si>
    <t>Expense_Oper_Variable["Subprojects.Catamarans", "Var_Expense_Accts.Fuel", DATE(2011,7,1)]|='(Compute)'!D8</t>
  </si>
  <si>
    <t>Sales_Units["Subprojects.Catamarans", "Products.Product_1", DATE(2011,4,1)]|=if('(Tables)'!E38=0, 0, if(and('(Tables)'!E38=1, '(Tables)'!D38=0), E51, E63*1+E63*'(Tables)'!B55))</t>
  </si>
  <si>
    <t>Sales_Units_Initial</t>
  </si>
  <si>
    <t>Invest_Fixed_Gross+Working_Cap_Initial</t>
  </si>
  <si>
    <t>Physical Life (Yr)</t>
  </si>
  <si>
    <t>Invest_Tax_Credit_pct["Subprojects.Canoes", "Invest_per_Subproject.Invest_2"]|=0</t>
  </si>
  <si>
    <t>:D:2:Var_Expense_Accts</t>
  </si>
  <si>
    <t>Lease_Pay</t>
  </si>
  <si>
    <t>FinTypes, Scenarios_Fin, Subprojects, Invest_per_Subproject</t>
  </si>
  <si>
    <t>(Ranges)'!DCF_BlendedFin_CF_Blended_Debt_Principal_Subprojects_Catamarans</t>
  </si>
  <si>
    <t>:D:-1:Working_Cap_Accts</t>
  </si>
  <si>
    <t>Inputs!Fin_Type_Wgts_Sc_FinTypes_Lease_Scenarios_Fin_Scenario_1_Subprojects_Catamarans_Invest_per_Subproject_Invest_1</t>
  </si>
  <si>
    <t>Expense_Oper_Fixed["Subprojects.Canoes", "Fixed_Expense_Accts.Vehicles", DATE(2011,10,1)]|=if(or('(FnCalls 1)'!A10-'(FnCalls 1)'!A7&lt;=0, '(Tables)'!G42=0), 0, if(and('(Tables)'!G42=1, '(Tables)'!F42=0), F83, G104*1+G104*'(Tables)'!D104))</t>
  </si>
  <si>
    <t>:A:0:Financial_Leverage</t>
  </si>
  <si>
    <t>Book value of the fixed investment at the end of each time period, for each investment in each subproject</t>
  </si>
  <si>
    <t>Tail_Future_Value_BlendFin</t>
  </si>
  <si>
    <t>Cash_Flow_Inv_Tax_Credit_EqFin</t>
  </si>
  <si>
    <t>:A:0:NPV_BlendedFin</t>
  </si>
  <si>
    <t>Data:</t>
  </si>
  <si>
    <t>(Ranges)'!EBITDA_Subprojects</t>
  </si>
  <si>
    <t>Sales_Units["Subprojects.Canoes", "Products.Product_1", DATE(2012,10,1)]|=if('(Tables)'!L42=0, 0, if(and('(Tables)'!L42=1, '(Tables)'!K42=0), F51, L64*1+L64*'(Tables)'!I58))</t>
  </si>
  <si>
    <t>Supplies inventory</t>
  </si>
  <si>
    <t>:A:0:Invest_Name</t>
  </si>
  <si>
    <t>(Ranges)'!Book_Value_End_plt_Time_Period</t>
  </si>
  <si>
    <t>Invest_Fixed_Resid_Value["Invest_Fixed.Non_Deprec", "Subprojects.Catamarans", "Invest_per_Subproject.Invest_1"]|=E28</t>
  </si>
  <si>
    <t>(Ranges)'!Expense_Oper_Variable_Subprojects_Canoes_Var_Expense_Accts_Fuel</t>
  </si>
  <si>
    <t>preve(var(0))</t>
  </si>
  <si>
    <t>:A:-1:Book_Value_End_plt</t>
  </si>
  <si>
    <t>Investment Tax Credit</t>
  </si>
  <si>
    <t>:D:0:Scenarios_Fin.Scenario_2</t>
  </si>
  <si>
    <t>:D:0:Scenarios_Fin.Scenario_3</t>
  </si>
  <si>
    <t>:D:0:Scenarios_Fin.Scenario_1</t>
  </si>
  <si>
    <t>:A:-1:Cash_Flow_Work_Cap</t>
  </si>
  <si>
    <t>Income_Tax_Rate[DATE(2011,7,1)]|=H108</t>
  </si>
  <si>
    <t>Borrowing_Rate_Yr["Subprojects.Canoes", "Invest_per_Subproject.Invest_2", DATE(2012,7,1)]|=M164</t>
  </si>
  <si>
    <t>Fin_Type_Wgts_Sc["Scenarios_Fin.Scenario_2", "Subprojects.Catamarans", "Invest_per_Subproject.Invest_1", "FinTypes.Lease"]|=0</t>
  </si>
  <si>
    <t>Sales_Units_Initial["Products.Product_1", "Subprojects.Canoes"]|=0</t>
  </si>
  <si>
    <t>Investment Date</t>
  </si>
  <si>
    <t>Inputs!Fin_Type_Wgts_Sc_FinTypes_Lease_Scenarios_Fin_Scenario_1_Subprojects_Canoes_Invest_per_Subproject_Invest_2</t>
  </si>
  <si>
    <t>Price_Average["Subprojects.Canoes", "Products.Product_1", DATE(2012,4,1)]|=J58</t>
  </si>
  <si>
    <t>Number of units sold per time period, segmented by subproject, product and time period. Sales for each subproject begin in the time period after investment and continue until the latest end of useful life of any fixed investment.</t>
  </si>
  <si>
    <t>(Ranges)'!Book_Value_Fixed_End_Subprojects_Canoes_Invest_per_Subproject_Invest_1</t>
  </si>
  <si>
    <t>Expense_Oper_Variable_pct_Rev["Subprojects.Catamarans", "Var_Expense_Accts.Maintenance", DATE(2012,10,1)]|=L77</t>
  </si>
  <si>
    <t>Invest_Fixed_Gross["Invest_Fixed.Non_Deprec", "Subprojects.Catamarans", "Invest_per_Subproject.Invest_1"]|=0</t>
  </si>
  <si>
    <t>Debt_Interest_Pay</t>
  </si>
  <si>
    <t>:A:-1:Company_Name</t>
  </si>
  <si>
    <t>Income_Tax_Rate[DATE(2011,4,1)]|=G108</t>
  </si>
  <si>
    <t>Expense_Oper_Variable_pct_Rev["Subprojects.Canoes", "Var_Expense_Accts.Fuel", DATE(2011,4,1)]|=E78</t>
  </si>
  <si>
    <t>Expense_Oper_Fixed_Growth_pct_Yr_In["Subprojects.Canoes", "Fixed_Expense_Accts.Vehicles", DATE(2012,7,1)]|=0</t>
  </si>
  <si>
    <t>CF_Equity_Fin</t>
  </si>
  <si>
    <t>Expense_Oper_Fixed_Initial["Fixed_Expense_Accts.Computers", "Subprojects.Canoes"]|=0</t>
  </si>
  <si>
    <t>(Ranges)'!Expense_Oper_Variable_Subprojects_Catamarans_Var_Expense_Accts</t>
  </si>
  <si>
    <t>IRR_Yr_EquityFin</t>
  </si>
  <si>
    <t>:A:-1:Cash_Flow_Invest_Tax_Credit</t>
  </si>
  <si>
    <t>Market Risk Premium (Yr)</t>
  </si>
  <si>
    <t>(Ranges)'!Revenue_Date</t>
  </si>
  <si>
    <t>preve(0)+Debt_Principal_Chg</t>
  </si>
  <si>
    <t>:A:0:Discount_Method</t>
  </si>
  <si>
    <t>Inputs!Fin_Type_Wgts_Sc_FinTypes_Debt_Scenarios_Fin_Scenario_2_Subprojects_Canoes_Invest_per_Subproject_Invest_2</t>
  </si>
  <si>
    <t>Fixed Operating Exp Growth %</t>
  </si>
  <si>
    <t>:A:-1:Book_Value_Fixed_Start</t>
  </si>
  <si>
    <t>Fin_Type_Wgts_Sc["Scenarios_Fin.Scenario_2", "Subprojects.Catamarans", "Invest_per_Subproject.Invest_1", "FinTypes.Equity"]|=1-sum(F148:G148)</t>
  </si>
  <si>
    <t>Expense_Oper_Variable_pct_Rev["Subprojects.Catamarans", "Var_Expense_Accts.Maintenance", DATE(2011,10,1)]|=G77</t>
  </si>
  <si>
    <t>Inputs!Fin_Type_Wgts_Sc_FinTypes_Equity_Scenarios_Fin_Scenario_3_Subprojects_Canoes_Invest_per_Subproject_Invest_1</t>
  </si>
  <si>
    <t>Expense_Oper_Fixed_Growth_pct_Yr_In["Subprojects.Catamarans", "Fixed_Expense_Accts.Computers", DATE(2011,7,1)]|=0</t>
  </si>
  <si>
    <t>:A:-1:Discount_Rate0</t>
  </si>
  <si>
    <t>Riskless_Rate_Yr[DATE(2012,1,1)]|=J130</t>
  </si>
  <si>
    <t>Deprec_Expense_EquityFin*(1-Fin_Type_Wgts["FinTypes.Lease"])</t>
  </si>
  <si>
    <t>:A:-1:DCF_plt</t>
  </si>
  <si>
    <t>:A:0:Valuation_BlendedFin</t>
  </si>
  <si>
    <t>Invest_Fixed_Resid_Value["Invest_Fixed.Non_Deprec", "Subprojects.Catamarans", "Invest_per_Subproject.Invest_2"]|=E29</t>
  </si>
  <si>
    <t>Invest_Fixed_Gross["Invest_Fixed.Depreciable", "Subprojects.Catamarans", "Invest_per_Subproject.Invest_1"]|=0</t>
  </si>
  <si>
    <t>Book value of the fixed investment at the start of each time period</t>
  </si>
  <si>
    <t>:A:0:Net_Income_plt</t>
  </si>
  <si>
    <t>:A:0:Tail_FV_Late_Factor</t>
  </si>
  <si>
    <t>(Ranges)'!Revenue_Subprojects_Catamarans</t>
  </si>
  <si>
    <t>:D:2:Working_Cap_Accts.Receivables</t>
  </si>
  <si>
    <t>The risk premium in the capital asset pricing model, by time period</t>
  </si>
  <si>
    <t>Lease_Rate_Yr["Subprojects.Catamarans", "Invest_per_Subproject.Invest_1", DATE(2011,7,1)]|=H176</t>
  </si>
  <si>
    <t>:D:1:FinTax</t>
  </si>
  <si>
    <t>:D:0:CF_Equity_Fin.Working_Cap</t>
  </si>
  <si>
    <t>ifm(dimitemnum("FinTypes")=1, 1-sum(ranged("FinTypes", Fin_Type_Wgts_Sc, false, 1)), 0)</t>
  </si>
  <si>
    <t>Expense_Oper_Fixed["Subprojects.Canoes", "Fixed_Expense_Accts.Computers", DATE(2011,1,1)]|=if(or('(FnCalls 1)'!A7-'(FnCalls 1)'!A7&lt;=0, '(Tables)'!D42=0), 0, if(and('(Tables)'!D42=1, '(Tables)'!B42=0), F82, 0*1+0*0))</t>
  </si>
  <si>
    <t>Cumulative discounted cash flow of the project and subprojects, using blended financing if applicable.
Used only for plot support.</t>
  </si>
  <si>
    <t>Lease_Rate_Yr["Subprojects.Canoes", "Invest_per_Subproject.Invest_1", DATE(2011,10,1)]|=J176</t>
  </si>
  <si>
    <t>Tail Early FV Factor</t>
  </si>
  <si>
    <t>:A:-1:Working_Capital</t>
  </si>
  <si>
    <t>Discount_Rate0_Yr["Subprojects.Canoes", DATE(2012,7,1)]|=N121</t>
  </si>
  <si>
    <t>:D:0:Subprojects</t>
  </si>
  <si>
    <t>:D:0:Working_Cap_Accts.Receivables</t>
  </si>
  <si>
    <t>minr(rangedru("Subprojects"))</t>
  </si>
  <si>
    <t>:A:0:Net_Income</t>
  </si>
  <si>
    <t>NPV of cash flow of the project and subprojects, using blended financing</t>
  </si>
  <si>
    <t>Expense_Oper_Fixed["Subprojects.Canoes", "Fixed_Expense_Accts.Computers", DATE(2011,10,1)]|=if(or('(FnCalls 1)'!A10-'(FnCalls 1)'!A7&lt;=0, '(Tables)'!G42=0), 0, if(and('(Tables)'!G42=1, '(Tables)'!F42=0), F82, G103*1+G103*'(Tables)'!D103))</t>
  </si>
  <si>
    <t>(Ranges)'!DCF_BlendedFin_CF_Blended_Fixed_Invest_Subprojects_Catamarans</t>
  </si>
  <si>
    <t>Cash Flow - Equity Fin</t>
  </si>
  <si>
    <t>var(if(Invest_Time_Depr_Period=0, 0, ipmt(Borrowing_Rate, Invest_Time_Depr_Period, Invest_Life_Depr_Period, Debt_Balloon_Pay-Fin_Type_Wgts["FinTypes.Debt"]*Invest_Fixed_Net)+Debt_Balloon_Pay*Borrowing_Rate))</t>
  </si>
  <si>
    <t>Lease_Rate_Yr["Subprojects.Catamarans", "Invest_per_Subproject.Invest_2", DATE(2012,7,1)]|=M177</t>
  </si>
  <si>
    <t>:A:0:Invest_Life_Phys_Period</t>
  </si>
  <si>
    <t>Expense_Oper_Fixed_Growth_pct_Yr_In["Subprojects.Canoes", "Fixed_Expense_Accts.Vehicles", DATE(2012,4,1)]|=0</t>
  </si>
  <si>
    <t>(Ranges)'!Valuation_BlendedFin_Subprojects_Catamarans</t>
  </si>
  <si>
    <t xml:space="preserve">Cash Flow - Fixed Investment </t>
  </si>
  <si>
    <t>The rate at which cash flow grows in the early phase after the end of model time.
Time after model time is segmented into an early phase and a late phase, to enable you to specify a higher growth rate for the early segment and lower growth for the late segment.</t>
  </si>
  <si>
    <t>:D:0:CF_Equity_Fin.Income_Tax</t>
  </si>
  <si>
    <t>Expense_Oper_Variable["Subprojects.Canoes", "Var_Expense_Accts.Fuel", DATE(2011,1,1)]|='(Compute)'!B18</t>
  </si>
  <si>
    <t>:A:0:IRR_Guess_Yr_EquityFin</t>
  </si>
  <si>
    <t>:A:-1:Discount_Rate0_Yr</t>
  </si>
  <si>
    <t>Working capital, segmented by working capital account, by subproject, and by time period. 
Working capital is specified directly in the first time period for each subproject. In later time periods, working capital is set as a percent of revenue.</t>
  </si>
  <si>
    <t>:D:-1:Subprojects</t>
  </si>
  <si>
    <t>:A:0:Book_Value_Fixed_End</t>
  </si>
  <si>
    <t>Discount_Rate0_Yr["Subprojects.Canoes", DATE(2010,10,1)]|=E121</t>
  </si>
  <si>
    <t>:A:-1:Invest_Date</t>
  </si>
  <si>
    <t>:D:-1:Invest_per_Subproject</t>
  </si>
  <si>
    <t>:D:0:CF_Blended.Lease_Pay</t>
  </si>
  <si>
    <t>Investment!Fin_Type_Wgts_FinTypes_Lease_Subprojects_Canoes_Invest_per_Subproject_Invest_2</t>
  </si>
  <si>
    <t>:D:0:Working_Cap_Accts</t>
  </si>
  <si>
    <t>:A:0:Borrowing_Rate</t>
  </si>
  <si>
    <t>Riskless_Rate_Yr[DATE(2012,7,1)]|=M130</t>
  </si>
  <si>
    <t>Tail_Growth_Rate_Early_Yr["Subprojects.Canoes"]|=0.0</t>
  </si>
  <si>
    <t>Price_Average</t>
  </si>
  <si>
    <t>Subprojects, CF_Equity_Fin</t>
  </si>
  <si>
    <t>:A:0:Capital_Average</t>
  </si>
  <si>
    <t>Price_Average["Subprojects.Catamarans", "Products.Product_1", DATE(2011,1,1)]|=0</t>
  </si>
  <si>
    <t xml:space="preserve">  Scenario_1</t>
  </si>
  <si>
    <t>Tax Credit Date</t>
  </si>
  <si>
    <t>(Ranges)'!DCF_BlendedFin_CF_Blended_Inv_Tax_Credit_Subprojects</t>
  </si>
  <si>
    <t>Income_Tax_Rate[DATE(2012,10,1)]|=N108</t>
  </si>
  <si>
    <t>Depreciable</t>
  </si>
  <si>
    <t>IRR (Yr)</t>
  </si>
  <si>
    <t>:A:-1:IRR_Yr_EquityFin</t>
  </si>
  <si>
    <t>Tail_Time_Early_Yr</t>
  </si>
  <si>
    <t>Revenue["Subprojects.Catamarans", "Products.Product_1", DATE(2012,1,1)]|=J57*J63</t>
  </si>
  <si>
    <t>FinTypes.Lease, Scenarios_Fin.Scenario_2, Subprojects, Invest_per_Subproject</t>
  </si>
  <si>
    <t>(1+Tail_Growth_Rate_Early_Yr)^Tail_Time_Early_Yr*(1+Tail_Growth_Rate_Late)*(1+Tail_Discount_Rate)/(Tail_Discount_Rate-Tail_Growth_Rate_Late)/(1+Tail_Discount_Rate_Yr)^Tail_Time_Early_Yr</t>
  </si>
  <si>
    <t>Lease_Rate</t>
  </si>
  <si>
    <t>:A:-1:Return_on_Sales_pct</t>
  </si>
  <si>
    <t>Expense_Oper_Fixed["Subprojects.Canoes", "Fixed_Expense_Accts.Vehicles", DATE(2011,7,1)]|=if(or('(FnCalls 1)'!A9-'(FnCalls 1)'!A7&lt;=0, '(Tables)'!F42=0), 0, if(and('(Tables)'!F42=1, '(Tables)'!E42=0), F83, F104*1+F104*'(Tables)'!C104))</t>
  </si>
  <si>
    <t>Sales_Units_Growth_pct_Yr</t>
  </si>
  <si>
    <t>Deprec_Method["Subprojects.Catamarans", "Invest_per_Subproject.Invest_2"]|="Linear"</t>
  </si>
  <si>
    <t>Variable operating expense as a percent of revenue, segmented by subproject, variable expense account, and time period</t>
  </si>
  <si>
    <t>Working_Cap_Residual_pct["Subprojects.Canoes", "Working_Cap_Accts.Receivables"]|=0</t>
  </si>
  <si>
    <t>Inputs!Fin_Type_Wgts_Sc_FinTypes_Equity_Scenarios_Fin_Scenario_1_Subprojects_Catamarans_Invest_per_Subproject_Invest_2</t>
  </si>
  <si>
    <t>var(ifm(periods_per("month")&gt;1, date(year(model_date(1)), month(model_date(1)), day(model_date(1))-1+round((dimitemnum("Subprojects")-1)/periods_per("day"), 0)), date(year(model_date(1)), month(model_date(1))+round((dimitemnum("Subprojects")-1)/periods_per("month"), 0), day(model_date(1))-1)), "Subprojects")</t>
  </si>
  <si>
    <t>:D:2:Products</t>
  </si>
  <si>
    <t>Revenue["Subprojects.Catamarans", "Products.Product_1", DATE(2012,7,1)]|=L57*L63</t>
  </si>
  <si>
    <t>Beta["Subprojects.Canoes"]|=1.00</t>
  </si>
  <si>
    <t>Investment!Fin_Type_Wgts_FinTypes_Equity_Subprojects_Catamarans_Invest_per_Subproject_Invest_1</t>
  </si>
  <si>
    <t>Lease_Rate_Yr["Subprojects.Canoes", "Invest_per_Subproject.Invest_1", DATE(2012,10,1)]|=O176</t>
  </si>
  <si>
    <t xml:space="preserve">Interest rate per time period at which debt financing can be obtained for each subproject.
</t>
  </si>
  <si>
    <t>Invest_Time_Depr_Period</t>
  </si>
  <si>
    <t>(Ranges)'!DCF_BlendedFin_CF_Blended_Working_Cap</t>
  </si>
  <si>
    <t>Tail_Growth_Rate_Late_Yr["Subprojects.Canoes"]|=0.0</t>
  </si>
  <si>
    <t>:A:-1:Fin_Type_Wgts</t>
  </si>
  <si>
    <t>:A:-1:Lease_Pay</t>
  </si>
  <si>
    <t>Income_Tax_Rate[DATE(2011,10,1)]|=I108</t>
  </si>
  <si>
    <t>Expense_Oper_Variable["Subprojects.Catamarans", "Var_Expense_Accts.Maintenance", DATE(2011,1,1)]|='(Compute)'!B11</t>
  </si>
  <si>
    <t>:D:-1:Scenarios_Fin</t>
  </si>
  <si>
    <t>Sales_Units_Growth_pct_Yr["Subprojects.Catamarans", "Products.Product_1", DATE(2011,4,1)]|=0</t>
  </si>
  <si>
    <t>Invest_Tax_Credit_pct["Subprojects.Catamarans", "Invest_per_Subproject.Invest_2"]|=0</t>
  </si>
  <si>
    <t>Price_Average["Subprojects.Canoes", "Products.Product_1", DATE(2011,7,1)]|=F58</t>
  </si>
  <si>
    <t>:A:0:Invest_Tax_Credit_pct</t>
  </si>
  <si>
    <t>Investment!Fin_Type_Wgts_FinTypes_Debt_Subprojects_Catamarans_Invest_per_Subproject_Invest_1</t>
  </si>
  <si>
    <t>:A:0:Deprec_Method_Tax</t>
  </si>
  <si>
    <t>:A:-1:Capital_Average</t>
  </si>
  <si>
    <t>Lease_Rate_Yr["Subprojects.Canoes", "Invest_per_Subproject.Invest_2", DATE(2011,10,1)]|=J177</t>
  </si>
  <si>
    <t>:A:0:Invest_Life_Depr_Yr</t>
  </si>
  <si>
    <t>Discount method is one of "Direct" (you directly specify the rate) and "CAPM" (capital asset pricing model)</t>
  </si>
  <si>
    <t>Cash_Flow_EquityFin</t>
  </si>
  <si>
    <t>Portion of working capital that is written off at the end of project life. It is treated as an amortization expense, so it is deducted from EBIT, but not from EBITDA.</t>
  </si>
  <si>
    <t>The beta parameter of the capital asset pricing model: the correlation between return on this investment and return on a broad market index fund. Settable for each subproject separately.</t>
  </si>
  <si>
    <t>:A:0:Expense_Oper_Fixed_Initial</t>
  </si>
  <si>
    <t>Expense_Oper_Fixed_Growth_pct_Yr_In["Subprojects.Canoes", "Fixed_Expense_Accts.Vehicles", DATE(2012,1,1)]|=0</t>
  </si>
  <si>
    <t>var(prevde(preve(0), "Subprojects"))</t>
  </si>
  <si>
    <t>NPV_EquityFin</t>
  </si>
  <si>
    <t>:A:0:Discount_Rate</t>
  </si>
  <si>
    <t>When discount method is "Direct", use this discount rate in discounted cash flows.</t>
  </si>
  <si>
    <t>(Ranges)'!DCF_BlendedFin_CF_Blended_Working_Cap_Subprojects</t>
  </si>
  <si>
    <t>Project_Name</t>
  </si>
  <si>
    <t>Invest_Fixed_Resid_Value["Invest_Fixed.Depreciable", "Subprojects.Catamarans", "Invest_per_Subproject.Invest_2"]|=0</t>
  </si>
  <si>
    <t>:A:0:DCF_plt</t>
  </si>
  <si>
    <t>:A:0:Tail_Growth_Rate_Early_Yr</t>
  </si>
  <si>
    <t>Discount_Rate0_Yr["Subprojects.Catamarans", DATE(2011,4,1)]|=G121</t>
  </si>
  <si>
    <t>Expense_Oper_Fixed["Subprojects.Canoes", "Fixed_Expense_Accts.Computers", DATE(2012,4,1)]|=if(or('(FnCalls 1)'!A12-'(FnCalls 1)'!A7&lt;=0, '(Tables)'!J42=0), 0, if(and('(Tables)'!J42=1, '(Tables)'!I42=0), F82, J103*1+J103*'(Tables)'!G103))</t>
  </si>
  <si>
    <t xml:space="preserve">  Debt_Principal</t>
  </si>
  <si>
    <t xml:space="preserve">  Equity</t>
  </si>
  <si>
    <t>:D:1:Invest_Fixed</t>
  </si>
  <si>
    <t>Debt_Balloon_Pay["Invest_per_Subproject.Invest_2", "Subprojects.Canoes"]|=0/2/2</t>
  </si>
  <si>
    <t>Subprojects, CF_Equity_Fin.Inv_Tax_Credit</t>
  </si>
  <si>
    <t>Return_on_Sales_pct</t>
  </si>
  <si>
    <t>Price_Average["Subprojects.Canoes", "Products.Product_1", DATE(2012,1,1)]|=H58</t>
  </si>
  <si>
    <t>Fin_Type_Wgts_Sc["Scenarios_Fin.Scenario_2", "Subprojects.Canoes", "Invest_per_Subproject.Invest_2", "FinTypes.Debt"]|=0</t>
  </si>
  <si>
    <t>:A:0:Book_Value_End</t>
  </si>
  <si>
    <t>:A:0:Deprec_Expense</t>
  </si>
  <si>
    <t>:A:-1:Invest_Fixed_Resid_Value</t>
  </si>
  <si>
    <t>maxr(ranget(Working_Capital))</t>
  </si>
  <si>
    <t>:A:0:DCF_EquityFin</t>
  </si>
  <si>
    <t>Deprec_Expense_Tax</t>
  </si>
  <si>
    <t>Fixed depreciable and non-depreciable investment, segmented by subproject, before subtracting investment tax credit. The model assumes you must finance only net investment.</t>
  </si>
  <si>
    <t>Net Fixed Invest</t>
  </si>
  <si>
    <t>Working Cap Accts</t>
  </si>
  <si>
    <t>FinTax.Lease_Exp, Subprojects</t>
  </si>
  <si>
    <t>(Ranges)'!Cash_Flow_Work_Cap_Subprojects_Canoes_Working_Cap_Accts_Receivables</t>
  </si>
  <si>
    <t>:A:0:Debt_Interest_Pay</t>
  </si>
  <si>
    <t>max(0, Income_Tax_Rate*(EBIT-Debt_Interest_Pay))</t>
  </si>
  <si>
    <t>:A:-1:Time_Long_Period</t>
  </si>
  <si>
    <t>:A:-1:Cash_Flow_Inv_Tax_Credit_EqFin</t>
  </si>
  <si>
    <t>:A:0:Working_Cap_Initial</t>
  </si>
  <si>
    <t>(1+Tail_Growth_Rate_Late_Yr)^(1/periods_per("year"))-1</t>
  </si>
  <si>
    <t>(Ranges)'!DCF_BlendedFin_CF_Blended_EBITDA_Subprojects_Catamarans</t>
  </si>
  <si>
    <t>(Ranges)'!DCF_BlendedFin_Date</t>
  </si>
  <si>
    <t>:D:1:Invest_per_Subproject</t>
  </si>
  <si>
    <t>Scenario 1</t>
  </si>
  <si>
    <t xml:space="preserve">  Non_Deprec</t>
  </si>
  <si>
    <t>:D:1:CF_Equity_Fin</t>
  </si>
  <si>
    <t>:A:0:Tail_Discount_Rate_Yr</t>
  </si>
  <si>
    <t>duration of the early phase of the time after model time, expressed in years.
Time after model time is segmented into an early phase and a late phase, to enable you to specify a higher growth rate for the early segment and lower growth for the late segment.</t>
  </si>
  <si>
    <t>:A:0:NPV_EquityFin</t>
  </si>
  <si>
    <t>Invest_Fixed_Net</t>
  </si>
  <si>
    <t xml:space="preserve">  Receivables</t>
  </si>
  <si>
    <t>:A:-1:Invest_Gross</t>
  </si>
  <si>
    <t>(Ranges)'!Cash_Flow_Work_Cap_Subprojects_Canoes</t>
  </si>
  <si>
    <t>var(if(Invest_Time_Depr_Period&gt;0, if(Deprec_Method="Linear", SLN(Invest_Fixed_Gross["Invest_Fixed.Depreciable"], Invest_Fixed_Resid_Value["Invest_Fixed.Depreciable"], Invest_Life_Depr_Period), if(Deprec_Method="SYD", SYD(Invest_Fixed_Gross["Invest_Fixed.Depreciable"], Invest_Fixed_Resid_Value["Invest_Fixed.Depreciable"], Invest_Time_Depr_Period, Invest_Life_Depr_Period), DDB(Invest_Fixed_Gross["Invest_Fixed.Depreciable"], Invest_Fixed_Resid_Value["Invest_Fixed.Depreciable"], Invest_Time_Depr_Period, Invest_Life_Depr_Period-1))), 0))</t>
  </si>
  <si>
    <t>Present value at start of model time of cash flows that occur after the end of model time. Cash flows after model time are projected from cash flows (that assume blending financing) in the last period of model time and user-specified growth rates.</t>
  </si>
  <si>
    <t>(Ranges)'!EBIT_Date</t>
  </si>
  <si>
    <t>Lease_Rate_Yr["Subprojects.Canoes", "Invest_per_Subproject.Invest_2", DATE(2012,1,1)]|=L177</t>
  </si>
  <si>
    <t>Formula / Data</t>
  </si>
  <si>
    <t>Lease_Rate_Yr["Subprojects.Catamarans", "Invest_per_Subproject.Invest_2", DATE(2012,4,1)]|=L177</t>
  </si>
  <si>
    <t xml:space="preserve">  Scenario_2</t>
  </si>
  <si>
    <t>Rate of growth of fixed operating expenses in each time period, annualized. Segmented by subproject, product, and time period. 'Fixed' means the expense does not vary with revenue or sales units; it can vary with time.</t>
  </si>
  <si>
    <t>Annualized internal rate of return for the project using equity financing, during model time. Excludes cash flow in the tail after model time.</t>
  </si>
  <si>
    <t>DCF_Cum</t>
  </si>
  <si>
    <t>Invest_Tax_Credit_Date["Subprojects.Catamarans", "Invest_per_Subproject.Invest_2"]|=F18</t>
  </si>
  <si>
    <t>Invest_Life_Phys_Period</t>
  </si>
  <si>
    <t>FinTypes.Debt, Scenarios_Fin.Scenario_3, Subprojects, Invest_per_Subproject</t>
  </si>
  <si>
    <t>Book Value</t>
  </si>
  <si>
    <t>Borrowing_Rate_Yr["Subprojects.Catamarans", "Invest_per_Subproject.Invest_1", DATE(2012,10,1)]|=N161</t>
  </si>
  <si>
    <t>Price_Average["Subprojects.Catamarans", "Products.Product_1", DATE(2011,10,1)]|=G57</t>
  </si>
  <si>
    <t>Lease_Rate_Yr["Subprojects.Catamarans", "Invest_per_Subproject.Invest_2", DATE(2011,1,1)]|=E177</t>
  </si>
  <si>
    <t>Subprojects, CF_Blended.Inv_Tax_Credit</t>
  </si>
  <si>
    <t>var(if(Invest_Time_Depr_Period=0, 0, ppmt(Borrowing_Rate, Invest_Time_Depr_Period, Invest_Life_Depr_Period, Debt_Balloon_Pay-Fin_Type_Wgts["FinTypes.Debt"]*Invest_Fixed_Net)+if(Invest_Time_Depr_Period=Invest_Life_Depr_Period, Debt_Balloon_Pay, 0)))</t>
  </si>
  <si>
    <t>Discount_Rate0_Yr["Subprojects.Canoes", DATE(2012,4,1)]|=M121</t>
  </si>
  <si>
    <t>:A:-1:Income_Tax</t>
  </si>
  <si>
    <t>Invest_Gross</t>
  </si>
  <si>
    <t>Risk_Premium_Yr[DATE(2012,10,1)]|=N132</t>
  </si>
  <si>
    <t>:A:0:Income_Tax</t>
  </si>
  <si>
    <t>Weights for types of financing used to finance the project. Segmented by financing types, subprojects, and time period.
If you enter weights for Debt and Lease, the template will default to a weight for Equity that makes the weights add to 100% for each subproject.</t>
  </si>
  <si>
    <t>Debt</t>
  </si>
  <si>
    <t>Tail_Future_Value_EqFin</t>
  </si>
  <si>
    <t>Borrowing_Rate_Yr["Subprojects.Catamarans", "Invest_per_Subproject.Invest_2", DATE(2012,4,1)]|=L162</t>
  </si>
  <si>
    <t>:A:0:Cash_Flow_Inv_Tax_Credit_EqFin</t>
  </si>
  <si>
    <t>rollup(true, last(), "Invest_Per_Subproject", min(1, minr(rangedru("Invest_per_Subproject", Invest_Time_Phys_Period, true))),  ,  )</t>
  </si>
  <si>
    <t>(Ranges)'!Cash_Flow_plt_Date</t>
  </si>
  <si>
    <t>:A:-1:Tail_Growth_Rate_Late</t>
  </si>
  <si>
    <t>Inputs!Fin_Type_Wgts_Sc_FinTypes_Equity_Scenarios_Fin_Scenario_3_Subprojects_Catamarans_Invest_per_Subproject_Invest_1</t>
  </si>
  <si>
    <t>Tail Early Growth Rate</t>
  </si>
  <si>
    <t>:A:0:Cash_Flow_BlendedFin</t>
  </si>
  <si>
    <t>Sales_Units_Growth_pct_Yr["Subprojects.Canoes", "Products.Product_1", DATE(2012,10,1)]|=L55</t>
  </si>
  <si>
    <t>Net present value of discounted cash flows for the case of 100% equity financing.</t>
  </si>
  <si>
    <t>Lease_Rate_Yr["Subprojects.Canoes", "Invest_per_Subproject.Invest_1", DATE(2012,7,1)]|=N176</t>
  </si>
  <si>
    <t>Investment!Financial_Leverage_Subprojects</t>
  </si>
  <si>
    <t>(Ranges)'!Book_Value_End_plt_Subprojects_Canoes</t>
  </si>
  <si>
    <t>round(Invest_Life_Phys_Yr*periods_per("year"), 0)</t>
  </si>
  <si>
    <t>Expense_Oper_Variable["Subprojects.Canoes", "Var_Expense_Accts.Maintenance", DATE(2011,4,1)]|='(Compute)'!C21</t>
  </si>
  <si>
    <t>Scenarios Fin</t>
  </si>
  <si>
    <t>Invest_First_Date</t>
  </si>
  <si>
    <t>Working Capital % Rev</t>
  </si>
  <si>
    <t>Sales_Units_Growth_pct_Yr["Subprojects.Canoes", "Products.Product_1", DATE(2011,10,1)]|=G55</t>
  </si>
  <si>
    <t>var((1+Borrowing_Rate_Yr)^(1/periods_per("year"))-1)</t>
  </si>
  <si>
    <t>index(ranged("Scenarios_Fin", Fin_Type_Wgts_Sc), Financing_Scenario)</t>
  </si>
  <si>
    <t>Investment!Fin_Type_Wgts_FinTypes_Debt_Subprojects_Catamarans_Invest_per_Subproject_Invest_2</t>
  </si>
  <si>
    <t>Borrowing_Rate_Yr["Subprojects.Canoes", "Invest_per_Subproject.Invest_2", DATE(2011,4,1)]|=G164</t>
  </si>
  <si>
    <t>(Ranges)'!DCF_BlendedFin_CF_Blended_Fixed_Invest</t>
  </si>
  <si>
    <t>Borrowing_Rate_Yr["Subprojects.Catamarans", "Invest_per_Subproject.Invest_2", DATE(2010,10,1)]|=E161</t>
  </si>
  <si>
    <t>Expense_Oper_Fixed["Subprojects.Canoes", "Fixed_Expense_Accts.Vehicles", DATE(2012,4,1)]|=if(or('(FnCalls 1)'!A12-'(FnCalls 1)'!A7&lt;=0, '(Tables)'!J42=0), 0, if(and('(Tables)'!J42=1, '(Tables)'!I42=0), F83, J104*1+J104*'(Tables)'!G104))</t>
  </si>
  <si>
    <t>Expense_Oper_Fixed["Subprojects.Canoes", "Fixed_Expense_Accts.Vehicles", DATE(2012,7,1)]|=if(or('(FnCalls 1)'!A13-'(FnCalls 1)'!A7&lt;=0, '(Tables)'!K42=0), 0, if(and('(Tables)'!K42=1, '(Tables)'!J42=0), F83, K104*1+K104*'(Tables)'!H104))</t>
  </si>
  <si>
    <t>Expense_Oper_Variable_pct_Rev["Subprojects.Catamarans", "Var_Expense_Accts.Maintenance", DATE(2011,7,1)]|=F77</t>
  </si>
  <si>
    <t>(Ranges)'!DCF_Cum_plt_Date</t>
  </si>
  <si>
    <t>Lease_Rate_Yr["Subprojects.Canoes", "Invest_per_Subproject.Invest_2", DATE(2011,7,1)]|=I177</t>
  </si>
  <si>
    <t>(Ranges)'!DCF_BlendedFin_CF_Blended_Lease_Pay_Subprojects</t>
  </si>
  <si>
    <t>Effective annual interest rate at which lease financing can be obtained for each subproject, by time period. This rate is used to estimate lease payments based on the value of assets leased. The lease rate is assumed to be based on asset value net of investment tax credit.
Specifying lease payments in this way enables you to alter the value of leased assets and the lease payment adjusts in a reasonable way. It also enables you to compare effective financing rates for debt and leases.
The lease rate for the first time period and the first subproject is, by default, copied to later time periods and other subprojects. You can override the default by entering a discount rate for any time period and subproject.</t>
  </si>
  <si>
    <t xml:space="preserve">  Lease</t>
  </si>
  <si>
    <t>Subprojects, Fixed_Expense_Accts</t>
  </si>
  <si>
    <t>:A:-1:Invest_Fixed_Gross</t>
  </si>
  <si>
    <t>(Ranges)'!Expense_Oper_Fixed_Subprojects_Canoes_Fixed_Expense_Accts</t>
  </si>
  <si>
    <t>Financing Scenario</t>
  </si>
  <si>
    <t>Invest 1</t>
  </si>
  <si>
    <t>:A:-1:Valuation_BlendedFin</t>
  </si>
  <si>
    <t>:A:0:Company_Name</t>
  </si>
  <si>
    <t>Fin_Type_Wgts_Sc["Scenarios_Fin.Scenario_2", "Subprojects.Catamarans", "Invest_per_Subproject.Invest_1", "FinTypes.Debt"]|=0</t>
  </si>
  <si>
    <t>Discount_Rate0_Yr["Subprojects.Catamarans", DATE(2012,1,1)]|=J121</t>
  </si>
  <si>
    <t>Lease_Balloon_Pay["Invest_per_Subproject.Invest_2", "Subprojects.Catamarans"]|=0/2/2</t>
  </si>
  <si>
    <t>(Ranges)'!Net_Income_plt_Date</t>
  </si>
  <si>
    <t>(Ranges)'!DCF_BlendedFin_CF_Blended_Lease_Pay_Subprojects_Canoes</t>
  </si>
  <si>
    <t>:D:0:Products</t>
  </si>
  <si>
    <t>(Ranges)'!Expense_Oper_Variable_Subprojects_Canoes_Var_Expense_Accts</t>
  </si>
  <si>
    <t>Expense_Oper_Variable_pct_Rev*Revenue</t>
  </si>
  <si>
    <t>Expense_Oper_Variable["Subprojects.Canoes", "Var_Expense_Accts.Maintenance", DATE(2011,10,1)]|='(Compute)'!E21</t>
  </si>
  <si>
    <t>:A:-1:Riskless_Rate_Yr</t>
  </si>
  <si>
    <t>Expense_Oper_Variable["Subprojects.Canoes", "Var_Expense_Accts.Fuel", DATE(2012,10,1)]|='(Compute)'!J18</t>
  </si>
  <si>
    <t>Tail Future Value</t>
  </si>
  <si>
    <t>Investment!Fin_Type_Wgts_FinTypes_Equity</t>
  </si>
  <si>
    <t>:A:-1:Tail_Time_Early_Yr</t>
  </si>
  <si>
    <t>Initial guess for annualized internal rate of return on investment using weighted blend of financing types.
The algorithm for computing IRR needs a starting guess.</t>
  </si>
  <si>
    <t>Discount Rate (Yr)</t>
  </si>
  <si>
    <t>Invest_Name["Subprojects.Canoes", "Invest_per_Subproject.Invest_2"]|=Labels!B183&amp;" Inv "&amp;2</t>
  </si>
  <si>
    <t>:D:0:Subprojects.Catamarans</t>
  </si>
  <si>
    <t>Price_Average["Subprojects.Catamarans", "Products.Product_1", DATE(2012,10,1)]|=L57</t>
  </si>
  <si>
    <t>Expense_Oper_Fixed["Subprojects.Catamarans", "Fixed_Expense_Accts.Vehicles", DATE(2012,1,1)]|=if(or('(FnCalls 1)'!A11-'(FnCalls 1)'!A7&lt;=0, '(Tables)'!I38=0), 0, if(and('(Tables)'!I38=1, '(Tables)'!G38=0), E83, H102*1+H102*'(Tables)'!F100))</t>
  </si>
  <si>
    <t>Fin_Type_Wgts_Sc["Scenarios_Fin.Scenario_2", "Subprojects.Canoes", "Invest_per_Subproject.Invest_1", "FinTypes.Debt"]|=0</t>
  </si>
  <si>
    <t xml:space="preserve">  Inv_Tax_Credit</t>
  </si>
  <si>
    <t>Deprec_Method_Tax["Subprojects.Catamarans", "Invest_per_Subproject.Invest_2"]|="Linear"</t>
  </si>
  <si>
    <t>Expense_Oper_Fixed["Subprojects.Catamarans", "Fixed_Expense_Accts.Computers", DATE(2012,4,1)]|=if(or('(FnCalls 1)'!A12-'(FnCalls 1)'!A7&lt;=0, '(Tables)'!J38=0), 0, if(and('(Tables)'!J38=1, '(Tables)'!I38=0), E82, J101*1+J101*'(Tables)'!G99))</t>
  </si>
  <si>
    <t>EBIT_EquityFin</t>
  </si>
  <si>
    <t>Inputs!Fin_Type_Wgts_Sc_FinTypes_Debt_Scenarios_Fin_Scenario_3_Subprojects_Catamarans_Invest_per_Subproject_Invest_2</t>
  </si>
  <si>
    <t>Working_Cap_pct_Rev["Subprojects.Catamarans", "Working_Cap_Accts.Receivables"]|=0</t>
  </si>
  <si>
    <t>Counts how many time periods have passed during the useful life of each investment. The count starts with the first full time period after the investment.
The rollup over investments per subproject indicate (with 1's) the envelope of useful time ranges of fixed investments in each subproject.</t>
  </si>
  <si>
    <t>Name</t>
  </si>
  <si>
    <t>Lease_Rate_Yr["Subprojects.Canoes", "Invest_per_Subproject.Invest_2", DATE(2010,10,1)]|=E177</t>
  </si>
  <si>
    <t>:D:1:Fixed_Expense_Accts</t>
  </si>
  <si>
    <t>if(preve(0, Expense_Oper_Fixed)=0, " ", (Expense_Oper_Fixed/preve(0, Expense_Oper_Fixed))^periods_per("year")-1)</t>
  </si>
  <si>
    <t>:A:0:Time_Long_Period</t>
  </si>
  <si>
    <t>preve(0)+1</t>
  </si>
  <si>
    <t>Risk_Premium_Yr[DATE(2012,1,1)]|=J132</t>
  </si>
  <si>
    <t xml:space="preserve">  Scenario_3</t>
  </si>
  <si>
    <t>Invest_Fixed_Resid_Value</t>
  </si>
  <si>
    <t>(Ranges)'!Net_Income_plt_Subprojects</t>
  </si>
  <si>
    <t>Borrowing_Rate_Yr["Subprojects.Catamarans", "Invest_per_Subproject.Invest_2", DATE(2012,7,1)]|=M162</t>
  </si>
  <si>
    <t>:A:0:Tail_Growth_Rate_Late_Yr</t>
  </si>
  <si>
    <t>:D:2:Invest_Fixed</t>
  </si>
  <si>
    <t>:D:0:Var_Expense_Accts.Fuel</t>
  </si>
  <si>
    <t>Riskless_Rate_Yr[DATE(2011,7,1)]|=H130</t>
  </si>
  <si>
    <t>:A:0:Fin_Type_Wgts</t>
  </si>
  <si>
    <t>(Ranges)'!DCF_Cum_plt_Time_Period</t>
  </si>
  <si>
    <t>:A:-1:Revenue</t>
  </si>
  <si>
    <t>:A:-1:Project_Name</t>
  </si>
  <si>
    <t>Expense_Oper_Fixed["Subprojects.Canoes", "Fixed_Expense_Accts.Computers", DATE(2012,1,1)]|=if(or('(FnCalls 1)'!A11-'(FnCalls 1)'!A7&lt;=0, '(Tables)'!I42=0), 0, if(and('(Tables)'!I42=1, '(Tables)'!G42=0), F82, H103*1+H103*'(Tables)'!F103))</t>
  </si>
  <si>
    <t>Expense_Oper_Variable["Subprojects.Catamarans", "Var_Expense_Accts.Maintenance", DATE(2012,1,1)]|='(Compute)'!G11</t>
  </si>
  <si>
    <t>:A:0:Riskless_Rate_Yr</t>
  </si>
  <si>
    <t>(Ranges)'!Expense_Oper_Fixed_Time_Period</t>
  </si>
  <si>
    <t>Scenario 2</t>
  </si>
  <si>
    <t>Sales Units Annualized Growth</t>
  </si>
  <si>
    <t>Expense_Oper_Fixed["Subprojects.Catamarans", "Fixed_Expense_Accts.Computers", DATE(2011,7,1)]|=if(or('(FnCalls 1)'!A9-'(FnCalls 1)'!A7&lt;=0, '(Tables)'!F38=0), 0, if(and('(Tables)'!F38=1, '(Tables)'!E38=0), E82, F101*1+F101*'(Tables)'!C99))</t>
  </si>
  <si>
    <t xml:space="preserve">  Invest_1</t>
  </si>
  <si>
    <t>Invest_Name["Subprojects.Catamarans", "Invest_per_Subproject.Invest_1"]|=Labels!B182&amp;" Inv "&amp;1</t>
  </si>
  <si>
    <t>IInvestment Tax Credit</t>
  </si>
  <si>
    <t xml:space="preserve">  Invest_2</t>
  </si>
  <si>
    <t>Riskless_Rate_Yr[DATE(2012,4,1)]|=L130</t>
  </si>
  <si>
    <t>Lease_Rate_Yr["Subprojects.Catamarans", "Invest_per_Subproject.Invest_1", DATE(2012,10,1)]|=N176</t>
  </si>
  <si>
    <t>:A:0:Expense_Oper_Variable_pct_Rev</t>
  </si>
  <si>
    <t>Revenue["Subprojects.Canoes", "Products.Product_1", DATE(2012,7,1)]|=L58*L64</t>
  </si>
  <si>
    <t>:A:-1:Invest_Name</t>
  </si>
  <si>
    <t>Interest</t>
  </si>
  <si>
    <t>Valuation_plt</t>
  </si>
  <si>
    <t>:A:-1:Invest_Age_Phys_Period</t>
  </si>
  <si>
    <t>Expense_Oper_Variable_pct_Rev["Subprojects.Canoes", "Var_Expense_Accts.Maintenance", DATE(2011,7,1)]|=F79</t>
  </si>
  <si>
    <t>(Ranges)'!Expense_Oper_Fixed_Subprojects_Canoes</t>
  </si>
  <si>
    <t>Expense_Oper_Fixed["Subprojects.Catamarans", "Fixed_Expense_Accts.Computers", DATE(2011,1,1)]|=if(or('(FnCalls 1)'!A7-'(FnCalls 1)'!A7&lt;=0, '(Tables)'!D38=0), 0, if(and('(Tables)'!D38=1, '(Tables)'!B38=0), E82, 0*1+0*0))</t>
  </si>
  <si>
    <t>Investment!Fin_Type_Wgts_FinTypes_Debt_Subprojects_Catamarans</t>
  </si>
  <si>
    <t>(Ranges)'!Book_Value_End_Subprojects_Canoes</t>
  </si>
  <si>
    <t>:A:-1:Expense_Oper_Fixed_Initial</t>
  </si>
  <si>
    <t>preve(0)</t>
  </si>
  <si>
    <t>Sales_Units["Subprojects.Catamarans", "Products.Product_1", DATE(2011,1,1)]|=if('(Tables)'!D38=0, 0, if(and('(Tables)'!D38=1, '(Tables)'!B38=0), E51, 0*1+0*0))</t>
  </si>
  <si>
    <t>Tail_NPV_EqFin</t>
  </si>
  <si>
    <t>Rate of return on "riskless" investments in the capital asset pricing model, for each time period. Usually approximated as the rate of return on treasury bills.</t>
  </si>
  <si>
    <t>Borrowing_Rate_Yr["Subprojects.Canoes", "Invest_per_Subproject.Invest_1", DATE(2011,10,1)]|=I163</t>
  </si>
  <si>
    <t>Sales_Units["Subprojects.Catamarans", "Products.Product_1", DATE(2012,1,1)]|=if('(Tables)'!I38=0, 0, if(and('(Tables)'!I38=1, '(Tables)'!G38=0), E51, H63*1+H63*'(Tables)'!F55))</t>
  </si>
  <si>
    <t>:A:-1:Deprec_Expense_EquityFin</t>
  </si>
  <si>
    <t>Investment!Fin_Type_Wgts_FinTypes_Lease_Subprojects_Canoes_Invest_per_Subproject_Invest_1</t>
  </si>
  <si>
    <t>Date on which each fixed investment is made</t>
  </si>
  <si>
    <t xml:space="preserve">  Lease_Pay</t>
  </si>
  <si>
    <t>Variable Operating Expense</t>
  </si>
  <si>
    <t>Expense_Oper_Fixed["Subprojects.Catamarans", "Fixed_Expense_Accts.Vehicles", DATE(2012,4,1)]|=if(or('(FnCalls 1)'!A12-'(FnCalls 1)'!A7&lt;=0, '(Tables)'!J38=0), 0, if(and('(Tables)'!J38=1, '(Tables)'!I38=0), E83, J102*1+J102*'(Tables)'!G100))</t>
  </si>
  <si>
    <t>Fin_Type_Wgts_Sc["Scenarios_Fin.Scenario_3", "Subprojects.Catamarans", "Invest_per_Subproject.Invest_1", "FinTypes.Lease"]|=0</t>
  </si>
  <si>
    <t>Display As</t>
  </si>
  <si>
    <t>Tail_FV_Late_Factor</t>
  </si>
  <si>
    <t>Fixed Operating Expense</t>
  </si>
  <si>
    <t>Revenue["Subprojects.Canoes", "Products.Product_1", DATE(2012,10,1)]|=M58*M64</t>
  </si>
  <si>
    <t>:A:-1:Deprec_Method</t>
  </si>
  <si>
    <t>Subprojects, CF_Equity_Fin.Working_Cap</t>
  </si>
  <si>
    <t>(Ranges)'!EBIT_Time_Period</t>
  </si>
  <si>
    <t>(Ranges)'!Cash_Flow_Work_Cap_Subprojects_Catamarans</t>
  </si>
  <si>
    <t>var(if(datediff(current_date(1), Invest_Date)&lt;=0, 0, if(preve(0)&lt;Invest_Life_Phys_Period, preve(0)+1, 0)))</t>
  </si>
  <si>
    <t>Types of financing that can be used, if blended financing is turned on</t>
  </si>
  <si>
    <t>Income_Tax_Rate[DATE(2012,4,1)]|=L108</t>
  </si>
  <si>
    <t>Discounted Cash Flow</t>
  </si>
  <si>
    <t>IRR_Guess_Yr</t>
  </si>
  <si>
    <t>:A:-1:Income_Tax_Rate</t>
  </si>
  <si>
    <t>Investment!Fin_Type_Wgts_FinTypes_Lease_Subprojects_Catamarans_Invest_per_Subproject_Invest_2</t>
  </si>
  <si>
    <t>Return on Sales %</t>
  </si>
  <si>
    <t>(Ranges)'!DCF_BlendedFin_CF_Blended_Income_Tax_Subprojects_Catamarans</t>
  </si>
  <si>
    <t>if(and(Invest_Time_Phys_Period=0, preve(0, Invest_Time_Phys_Period)=1), (1-Working_Cap_Residual_pct)*preve(0, Working_Capital), 0)</t>
  </si>
  <si>
    <t>Net Income</t>
  </si>
  <si>
    <t>Time_Yr</t>
  </si>
  <si>
    <t>preve(0.055)</t>
  </si>
  <si>
    <t>Invest_Tax_Credit_pct["Subprojects.Catamarans", "Invest_per_Subproject.Invest_1"]|=0</t>
  </si>
  <si>
    <t>Debt_Balloon_Pay["Invest_per_Subproject.Invest_1", "Subprojects.Catamarans"]|=0/2/2</t>
  </si>
  <si>
    <t>Investment tax credit for investment in each subproject, for equity and debt financing (excluding leased assets)</t>
  </si>
  <si>
    <t>:A:0:Borrowing_Rate_Yr</t>
  </si>
  <si>
    <t>DCF_BlendedFin</t>
  </si>
  <si>
    <t>Working_Cap_Initial["Subprojects.Catamarans", "Working_Cap_Accts.Receivables"]|=0/2/2</t>
  </si>
  <si>
    <t>:D:0:Var_Expense_Accts</t>
  </si>
  <si>
    <t>Date_Start</t>
  </si>
  <si>
    <t>(Ranges)'!Book_Value_Fixed_End_Subprojects_Catamarans_Invest_per_Subproject_Invest_1</t>
  </si>
  <si>
    <t xml:space="preserve">Cash flow in the case of 100% equity financing, during model time. Excludes tail at later times. </t>
  </si>
  <si>
    <t>Discount_Rate0_Yr["Subprojects.Canoes", DATE(2011,1,1)]|=G121</t>
  </si>
  <si>
    <t>(Ranges)'!Expense_Oper_Fixed_Subprojects_Canoes_Fixed_Expense_Accts_Computers</t>
  </si>
  <si>
    <t>var(preve(0, Book_Value_Fixed_End)+if(and(datediff(current_date(-1), Invest_Date)&lt;=0, datediff(Invest_Date, current_date(1))&lt;=0), Invest_Fixed_Gross, 0)-if(Invest_Time_Depr_Period=0, 0, next(preve(0, Deprec_Expense)))-if(and(datediff(index(ranget(Date_Start), max(1, Time_Long_Period-Invest_Life_Depr_Period)), Invest_Date)&lt;=0, datediff(Invest_Date, index(ranget(Date_End), max(1, Time_Long_Period-Invest_Life_Depr_Period)))&lt;=0), Invest_Fixed_Resid_Value, 0))</t>
  </si>
  <si>
    <t>Gross Investment</t>
  </si>
  <si>
    <t>Expense_Oper_Fixed["Subprojects.Canoes", "Fixed_Expense_Accts.Computers", DATE(2012,7,1)]|=if(or('(FnCalls 1)'!A13-'(FnCalls 1)'!A7&lt;=0, '(Tables)'!K42=0), 0, if(and('(Tables)'!K42=1, '(Tables)'!J42=0), F82, K103*1+K103*'(Tables)'!H103))</t>
  </si>
  <si>
    <t>Invest_Name["Subprojects.Catamarans", "Invest_per_Subproject.Invest_2"]|=Labels!B182&amp;" Inv "&amp;2</t>
  </si>
  <si>
    <t>Lease_Rate_Yr["Subprojects.Catamarans", "Invest_per_Subproject.Invest_1", DATE(2011,10,1)]|=I176</t>
  </si>
  <si>
    <t>Riskless_Rate_Yr[DATE(2011,1,1)]|=E130</t>
  </si>
  <si>
    <t>(Ranges)'!DCF_BlendedFin_CF_Blended_Interest_Pay_Subprojects_Catamarans</t>
  </si>
  <si>
    <t>Tail Late Growth Rate</t>
  </si>
  <si>
    <t>Expense_Oper_Fixed_Growth_pct_Yr_In["Subprojects.Canoes", "Fixed_Expense_Accts.Computers", DATE(2012,4,1)]|=0</t>
  </si>
  <si>
    <t>Expense_Oper_Fixed_Growth_pct_Yr_In</t>
  </si>
  <si>
    <t>Earnings before interest, income taxes, depreciation, and amortization. Computed as revenue less operating expenses, segmented by subproject and by time period. Covers model time, excludes tail after model time.</t>
  </si>
  <si>
    <t>:A:-1:Debt_Principal_Chg</t>
  </si>
  <si>
    <t>Cash_Flow_Invest_Tax_Credit</t>
  </si>
  <si>
    <t>DCF_Cum_plt</t>
  </si>
  <si>
    <t>:D:2:Scenarios_Fin.Scenario_1</t>
  </si>
  <si>
    <t>Indicates which financing scenario is being used in the model currently. To change to a different scenario, enter a whole number thta represents the scenario you want to use in the model.</t>
  </si>
  <si>
    <t>:A:0:Income_Tax_EquityFin</t>
  </si>
  <si>
    <t>Riskless_Rate_Yr[DATE(2012,10,1)]|=N130</t>
  </si>
  <si>
    <t>:D:1:Var_Expense_Accts</t>
  </si>
  <si>
    <t>Annualized rate at which cash flow grows in the late phase of time after the end of model time. This growth rate should be LESS THAN the discount rate in the tail time.
Time after model time is segmented into an early phase and a late phase, to enable you to specify a higher growth rate for the early segment and lower growth for the late segment.</t>
  </si>
  <si>
    <t>Sales_Units_Growth_pct_Yr["Subprojects.Canoes", "Products.Product_1", DATE(2012,7,1)]|=K55</t>
  </si>
  <si>
    <t>Net_Income_plt</t>
  </si>
  <si>
    <t>:A:-1:EBITDA_plt</t>
  </si>
  <si>
    <t>:A:-1:Working_Cap_Max</t>
  </si>
  <si>
    <t>(Ranges)'!DCF_Cum_Subprojects</t>
  </si>
  <si>
    <t>Discount rate per time period applied to cash flows that are projected after the end model time</t>
  </si>
  <si>
    <t>Expense_Oper_Variable_pct_Rev["Subprojects.Canoes", "Var_Expense_Accts.Fuel", DATE(2011,1,1)]|=0</t>
  </si>
  <si>
    <t>Tail_Growth_Rate_Early</t>
  </si>
  <si>
    <t>Expense_Oper_Variable["Subprojects.Catamarans", "Var_Expense_Accts.Maintenance", DATE(2012,4,1)]|='(Compute)'!H11</t>
  </si>
  <si>
    <t>:A:0:DCF_BlendedFin</t>
  </si>
  <si>
    <t>Lease_Balloon_Pay["Invest_per_Subproject.Invest_1", "Subprojects.Canoes"]|=0/2/2</t>
  </si>
  <si>
    <t>Working_Cap_Accts, Subprojects</t>
  </si>
  <si>
    <t>Working_Cap_Initial["Subprojects.Catamarans", "Working_Cap_Accts.Supplies_inventory"]|=0/2/2</t>
  </si>
  <si>
    <t>Fin_Type_Wgts_Sc["Scenarios_Fin.Scenario_3", "Subprojects.Canoes", "Invest_per_Subproject.Invest_1", "FinTypes.Equity"]|=1-sum(F154:G154)</t>
  </si>
  <si>
    <t>Lease_Rate_Yr["Subprojects.Canoes", "Invest_per_Subproject.Invest_2", DATE(2012,7,1)]|=N177</t>
  </si>
  <si>
    <t>Average Price</t>
  </si>
  <si>
    <t>Expense_Oper_Variable_pct_Rev["Subprojects.Canoes", "Var_Expense_Accts.Maintenance", DATE(2011,10,1)]|=G79</t>
  </si>
  <si>
    <t>Fin_Type_Wgts_Sc["Scenarios_Fin.Scenario_3", "Subprojects.Catamarans", "Invest_per_Subproject.Invest_1", "FinTypes.Equity"]|=1-sum(F152:G152)</t>
  </si>
  <si>
    <t>Revenue, segmented by subproject, product and time period.
The variable computes values from a formula that uses previous revenue and 'Revenue Growth rate'. You can override the default values by entering your own values.</t>
  </si>
  <si>
    <t>if(Invest_Gross=0, 0, (Invest_Gross["FinTypes.Debt"]*Fin_Type_Wgts["Fintypes.Debt"]+Invest_Gross["FinTypes.Lease"]*Fin_Type_Wgts["Fintypes.Lease"])/Invest_Gross)</t>
  </si>
  <si>
    <t>Income_Tax_Rate</t>
  </si>
  <si>
    <t>Working_Capital</t>
  </si>
  <si>
    <t>var(if(or(datediff(prev(current_date(1)), Invest_Date)&lt;0, datediff(Invest_Date, index(ranget(Date_Start), max(1, Time_Long_Period-Invest_Life_Depr_Period-1)))&lt;0), 0, if(preve(0)&lt;Invest_Life_Depr_Period, preve(0)+1, 0)))</t>
  </si>
  <si>
    <t>:A:-1:Invest_Tax_Credit_EquityFin</t>
  </si>
  <si>
    <t>:D:0:CF_Equity_Fin.Fixed_Invest</t>
  </si>
  <si>
    <t>FinTypes</t>
  </si>
  <si>
    <t>Risk_Premium_Yr[DATE(2012,4,1)]|=L132</t>
  </si>
  <si>
    <t>Scenarios_Fin1</t>
  </si>
  <si>
    <t>FinTax</t>
  </si>
  <si>
    <t>Expense_Oper_Fixed["Subprojects.Canoes", "Fixed_Expense_Accts.Vehicles", DATE(2012,10,1)]|=if(or('(FnCalls 1)'!A14-'(FnCalls 1)'!A7&lt;=0, '(Tables)'!L42=0), 0, if(and('(Tables)'!L42=1, '(Tables)'!K42=0), F83, L104*1+L104*'(Tables)'!I104))</t>
  </si>
  <si>
    <t>Rate of growth of fixed operating expenses, segmented by subproject and by time period. 'Fixed' means the expense does not vary with revenue or sales units; it can vary with time.</t>
  </si>
  <si>
    <t>Sales_Units["Subprojects.Catamarans", "Products.Product_1", DATE(2011,10,1)]|=if('(Tables)'!G38=0, 0, if(and('(Tables)'!G38=1, '(Tables)'!F38=0), E51, G63*1+G63*'(Tables)'!D55))</t>
  </si>
  <si>
    <t>Invest_Tax_Credit_pct["Subprojects.Canoes", "Invest_per_Subproject.Invest_1"]|=0</t>
  </si>
  <si>
    <t>Subprojects, Products</t>
  </si>
  <si>
    <t>:D:0:FinTypes</t>
  </si>
  <si>
    <t>Discount_Rate0_Yr["Subprojects.Catamarans", DATE(2010,10,1)]|=0.15</t>
  </si>
  <si>
    <t>Revenue["Subprojects.Canoes", "Products.Product_1", DATE(2011,1,1)]|=E58*E64</t>
  </si>
  <si>
    <t>Sales Units</t>
  </si>
  <si>
    <t>Investment!Fin_Type_Wgts_FinTypes_Equity_Subprojects</t>
  </si>
  <si>
    <t>:A:-1:Discount_Rate_Yr</t>
  </si>
  <si>
    <t>Net income after operations expense, interest expense, depreciation, lease costs and income tax.
Used only for plot support.</t>
  </si>
  <si>
    <t>Effective interest rate per time period at which lease financing can be obtained for this investment project.</t>
  </si>
  <si>
    <t>preve(0.04)</t>
  </si>
  <si>
    <t>Expense_Oper_Variable_pct_Rev["Subprojects.Canoes", "Var_Expense_Accts.Maintenance", DATE(2012,7,1)]|=K79</t>
  </si>
  <si>
    <t>(Ranges)'!Cash_Flow_Work_Cap_Date</t>
  </si>
  <si>
    <t>:A:0:Time_Yr</t>
  </si>
  <si>
    <t>Invest_Name</t>
  </si>
  <si>
    <t>Invest_Life_Phys_Yr["Subprojects.Catamarans", "Invest_per_Subproject.Invest_1"]|=8</t>
  </si>
  <si>
    <t>(Ranges)'!DCF_plt_Time_Period</t>
  </si>
  <si>
    <t>Dimension (item)</t>
  </si>
  <si>
    <t>:A:0:Cash_Flow_Invest_Tax_Credit</t>
  </si>
  <si>
    <t>diminfo("Subprojects", 0)&amp;" Inv "&amp;dimitemnum("Invest_per_Subproject")</t>
  </si>
  <si>
    <t>Tail Early Time (Yr)</t>
  </si>
  <si>
    <t>:A:-1:Deprec_Expense</t>
  </si>
  <si>
    <t>Investment!Fin_Type_Wgts_FinTypes_Equity_Subprojects_Catamarans_Invest_per_Subproject</t>
  </si>
  <si>
    <t>Enumerates time periods in longer time than model time at both ends.</t>
  </si>
  <si>
    <t>:A:0:Invest_Tax_Credit_EquityFin</t>
  </si>
  <si>
    <t>:D:0:FinTax.Interest</t>
  </si>
  <si>
    <t>Sales_Units["Subprojects.Canoes", "Products.Product_1", DATE(2011,4,1)]|=if('(Tables)'!E42=0, 0, if(and('(Tables)'!E42=1, '(Tables)'!D42=0), F51, E64*1+E64*'(Tables)'!B58))</t>
  </si>
  <si>
    <t>Investment Project Analysis</t>
  </si>
  <si>
    <t>You can customize this template by filling in a simple form, without editing a spreadsheet.</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</si>
  <si>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</si>
  <si>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</si>
  <si>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ModelSheet provides you with customized templates in three ways.</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</si>
  <si>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</si>
  <si>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</si>
  <si>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</si>
  <si>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</si>
  <si>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</si>
  <si>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</si>
  <si>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</si>
  <si>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</si>
  <si>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</si>
  <si>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</si>
  <si>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</si>
  <si>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</si>
  <si>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Times New Roman"/>
        <family val="1"/>
      </rPr>
      <t>•</t>
    </r>
    <r>
      <rPr>
        <sz val="10"/>
        <rFont val="Arial"/>
        <family val="2"/>
      </rPr>
      <t xml:space="preserve"> ModelSheet Excel templates are easier to understand. (Click on "+" for more information.)</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</si>
  <si>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</si>
  <si>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Worksheet "Formulas" expresses the entire model with named variables and symbolic formulas. Although
   the symbolic formulas are not executable in Excel, they are what the model is made from in ModelSheet.</t>
    </r>
  </si>
  <si>
    <t>− You never need to read inscrutable cell formulas to understand a ModelSheet customized template.</t>
  </si>
  <si>
    <t>Explore our customized templates.</t>
  </si>
  <si>
    <t>2. If you want more customizations, retain ModelSheet Software to build them for you.</t>
  </si>
  <si>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</si>
  <si>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 ModelSheet technology enables us to offer you more value for your consulting dollar.</t>
  </si>
  <si>
    <t>Learn more about consulting services.</t>
  </si>
  <si>
    <t>3. Use the ModelSheet Authoring Environment to build and customize your spreadsheet models.</t>
  </si>
  <si>
    <t>The ModelSheet Authoring Environment is a SaaS application for developing and maintaining business models and delivering them in conventional spreadsheets.</t>
  </si>
  <si>
    <t>Click "+" to learn more about ModelSheet technology that makes customized template possible.</t>
  </si>
  <si>
    <t>This Excel workbook was generated using ModelSheet, a revolutionary new spreadsheet technology. ModelSheet allows you to develop business models using readable formulas, while avoiding the details of cell addresses and hard-to-change sheet layouts. The end result is a conventional Excel workbook just like this one. We built ModelSheet because we believe that spreadsheets are a great way of communicating results but we think it's just too hard to use them to develop reliable, maintainable, expressive and collaborative models.</t>
  </si>
  <si>
    <t>You'll get a glimpse of ModelSheet's advantages when you take a look at the "Formulas" tab and realize how few separate, readable formulas are needed to produce all of the other worksheets. In addition to formulas, ModelSheet knows about the "dimensions" in your model (e.g., products, locations, departments) as well as the time series that you're using (e.g., 5 years in quarters.) ModelSheet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</si>
  <si>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ModelSheet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</si>
  <si>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ModelSheet and we'd like to hear about your needs for templates and models.</t>
  </si>
  <si>
    <t>Please visit our website at www.modelsheetsoft.com</t>
  </si>
  <si>
    <t>or contact us at info@modelsheetsoft.com.</t>
  </si>
  <si>
    <t>Description of the Investment Project Analysis</t>
  </si>
  <si>
    <t>This workbook contains an analysis of the  financial return on an investment project. The project can have multiple sub-projects, or assets, each with its own investment, cash flow, revenue model, operating expenses, profit, and asset value (for example, multiple pieces of equipment or vehicles). YOu can specify how to finance each subproject .</t>
  </si>
  <si>
    <t>When you customize the model, you can choose the following features. (Not all of these features are available in the Standard version.)</t>
  </si>
  <si>
    <t>• Time range and time grain (weeks, months, quarters, years)</t>
  </si>
  <si>
    <t>• Investment subprojects that you can analyze separately and in aggregate.</t>
  </si>
  <si>
    <t>• Blend equity, debt and lease financing, independently for each subproject, with effects on interest, depreciation,
  lease expenses and taxes.</t>
  </si>
  <si>
    <t>• Choose the sales model</t>
  </si>
  <si>
    <r>
      <rPr>
        <sz val="10"/>
        <rFont val="Calibri"/>
        <family val="2"/>
      </rPr>
      <t>−</t>
    </r>
    <r>
      <rPr>
        <sz val="10"/>
        <rFont val="Arial"/>
        <family val="2"/>
      </rPr>
      <t xml:space="preserve"> </t>
    </r>
    <r>
      <rPr>
        <sz val="10"/>
        <rFont val="Arial"/>
        <family val="2"/>
      </rPr>
      <t>Simple sales model based on initial revenue and revenue growth</t>
    </r>
  </si>
  <si>
    <t>− Sales model based on prices, initial sales units and sales units growth</t>
  </si>
  <si>
    <t>• Number and names of assets whose financial performance is separately tracked</t>
  </si>
  <si>
    <t>• Types of working capital (which vary proportional to revenue)</t>
  </si>
  <si>
    <t>• Types of fixed operating expenses (that do not vary with revenue)</t>
  </si>
  <si>
    <t>• Types of variable operating expenses (that vary with revenue)</t>
  </si>
  <si>
    <t>You can enter the following input data (in the darker blue cells on worksheet "Inputs").</t>
  </si>
  <si>
    <t>• initial investment, a choice of depreciation methods, and asset salvage value</t>
  </si>
  <si>
    <t>• working capital initial value, requirements, and salvage value</t>
  </si>
  <si>
    <t>• opportunity cost</t>
  </si>
  <si>
    <t>• a project revenue stream</t>
  </si>
  <si>
    <t>• income taxes and credits</t>
  </si>
  <si>
    <t>• a choice of methods of computing the discount rate.</t>
  </si>
  <si>
    <t>The main outputs of the model are:</t>
  </si>
  <si>
    <t>• The operating cash flow, shown on worksheet "Cash Flow"</t>
  </si>
  <si>
    <t>• The net present value (NPV), return on capital (ROC), and internal rate of return (IRR) , shown on worksheet
  "Valuation."</t>
  </si>
  <si>
    <t>The model contains Excel graphs of key variables. These graphs are integrated into the ModelSheet  model from which they get their source data. You can add more graphs, and optionally import them to ModelSheet and include them in future exported Excel workbooks.</t>
  </si>
  <si>
    <t>As you explore the model, we suggest that you</t>
  </si>
  <si>
    <t>• Read some of the Excel comments that are attached to Analysis Variables throughout the workbook.
  These comments also appear in ModelSheet in convenient places.</t>
  </si>
  <si>
    <t>• View worksheet "Formulas" which shows the named variables and symbolic formulas of the model
   in a compact and readable form. The symbolic formulas are not active in this Excel workbook, but they
   give you some idea how the model works, and how it looks in ModelSheet.</t>
  </si>
  <si>
    <t>If this Spreadsheet Solution lacks some of the features you need…</t>
  </si>
  <si>
    <t>We offer custom development services to add features you want to our spreadsheet solutions, and to build new solutions from scratch. For more information about our consulting services, see:</t>
  </si>
  <si>
    <t>http://www.modelsheetsoft.com/consulting-business-analysis.aspx</t>
  </si>
  <si>
    <t>To discuss your specific needs, please contact us at:</t>
  </si>
  <si>
    <t>info@modelsheetsoft.com.</t>
  </si>
  <si>
    <t>Acknowledgement</t>
  </si>
  <si>
    <t>The original version of this model was based on an investment project analysis workbook named capbudg.xls made available for public use on the website of Professor Aswath Damodaran of NYU Stern School of Business at http://pages.stern.nyu.edu/~adamodar/ . ModelSheet Software has extended the model to include multiple investments, and is solely responsible for any errors in this derivative work.</t>
  </si>
  <si>
    <t>This Excel workbook was generated on October 15, 2010, except for this worksheet of comments.</t>
  </si>
  <si>
    <t>Copyright © 2009, 2010 ModelSheet Software, LLC</t>
  </si>
  <si>
    <t>ModelSheet and the ModelSheet logo are registered trademarks of ModelSheet Software,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</si>
</sst>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0_);[Red]\(&quot;$&quot;#,##0\)"/>
    <numFmt numFmtId="165" formatCode="&quot;$&quot;#,##0.00_);[Red]\(&quot;$&quot;#,##0.00\)"/>
    <numFmt numFmtId="166" formatCode="#,##0%"/>
    <numFmt numFmtId="167" formatCode="#,##0.00%"/>
    <numFmt numFmtId="168" formatCode="#,##0.0%"/>
    <numFmt numFmtId="169" formatCode="#,##0.000"/>
    <numFmt numFmtId="170" formatCode="m\/d\/yyyy"/>
    <numFmt numFmtId="171" formatCode="mmmm\ d\,\ yyyy"/>
    <numFmt numFmtId="172" formatCode="#,##0.0000"/>
  </numFmts>
  <fonts count="39" x14ac:knownFonts="1">
    <font>
      <sz val="1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8"/>
      <color indexed="8"/>
      <name val="Arial"/>
      <family val="2"/>
    </font>
    <font>
      <b/>
      <sz val="8"/>
      <color indexed="8"/>
      <name val="Arial"/>
      <family val="2"/>
    </font>
    <font>
      <b/>
      <i/>
      <sz val="8"/>
      <color indexed="8"/>
      <name val="Arial"/>
      <family val="2"/>
    </font>
    <font>
      <i/>
      <sz val="8"/>
      <color indexed="8"/>
      <name val="Arial"/>
      <family val="2"/>
    </font>
    <font>
      <b/>
      <sz val="10"/>
      <color indexed="8"/>
      <name val="Arial"/>
      <family val="2"/>
    </font>
    <font>
      <sz val="8"/>
      <color indexed="8"/>
      <name val="Arial"/>
      <family val="2"/>
    </font>
    <font>
      <b/>
      <sz val="8"/>
      <color indexed="8"/>
      <name val="Arial"/>
      <family val="2"/>
    </font>
    <font>
      <b/>
      <u/>
      <sz val="9"/>
      <color indexed="8"/>
      <name val="Arial"/>
      <family val="2"/>
    </font>
    <font>
      <b/>
      <i/>
      <sz val="8"/>
      <color indexed="8"/>
      <name val="Arial"/>
      <family val="2"/>
    </font>
    <font>
      <i/>
      <sz val="8"/>
      <color indexed="8"/>
      <name val="Arial"/>
      <family val="2"/>
    </font>
    <font>
      <b/>
      <sz val="8"/>
      <name val="Arial"/>
      <family val="2"/>
    </font>
    <font>
      <b/>
      <sz val="12"/>
      <name val="Arial"/>
      <family val="2"/>
    </font>
    <font>
      <b/>
      <sz val="14"/>
      <name val="Arial"/>
      <family val="2"/>
    </font>
    <font>
      <b/>
      <sz val="11"/>
      <color rgb="FFFF0000"/>
      <name val="Arial"/>
      <family val="2"/>
    </font>
    <font>
      <b/>
      <i/>
      <sz val="10"/>
      <name val="Arial"/>
      <family val="2"/>
    </font>
    <font>
      <b/>
      <sz val="10"/>
      <name val="Arial"/>
      <family val="2"/>
    </font>
    <font>
      <u/>
      <sz val="10"/>
      <color theme="10"/>
      <name val="Arial"/>
      <family val="2"/>
    </font>
    <font>
      <b/>
      <sz val="11"/>
      <name val="Arial"/>
      <family val="2"/>
    </font>
    <font>
      <sz val="10"/>
      <name val="Times New Roman"/>
      <family val="1"/>
    </font>
    <font>
      <sz val="10"/>
      <name val="Calibri"/>
      <family val="2"/>
    </font>
  </fonts>
  <fills count="17">
    <fill>
      <patternFill patternType="none"/>
    </fill>
    <fill>
      <patternFill patternType="gray125"/>
    </fill>
    <fill>
      <patternFill patternType="solid">
        <fgColor indexed="28"/>
        <bgColor indexed="64"/>
      </patternFill>
    </fill>
    <fill>
      <patternFill patternType="solid">
        <fgColor indexed="47"/>
        <bgColor indexed="64"/>
      </patternFill>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29"/>
        <bgColor indexed="64"/>
      </patternFill>
    </fill>
    <fill>
      <patternFill patternType="solid">
        <fgColor indexed="55"/>
        <bgColor indexed="64"/>
      </patternFill>
    </fill>
    <fill>
      <patternFill patternType="solid">
        <fgColor indexed="9"/>
        <bgColor indexed="64"/>
      </patternFill>
    </fill>
    <fill>
      <patternFill patternType="solid">
        <fgColor indexed="27"/>
        <bgColor indexed="64"/>
      </patternFill>
    </fill>
    <fill>
      <patternFill patternType="solid">
        <fgColor rgb="FFCCCCFF"/>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8"/>
      </bottom>
      <diagonal/>
    </border>
    <border>
      <left/>
      <right/>
      <top/>
      <bottom style="medium">
        <color indexed="28"/>
      </bottom>
      <diagonal/>
    </border>
    <border>
      <left/>
      <right/>
      <top/>
      <bottom style="double">
        <color indexed="5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diagonal/>
    </border>
  </borders>
  <cellStyleXfs count="301">
    <xf numFmtId="0" fontId="0" fillId="0" borderId="0">
      <alignment vertical="center"/>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6"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7" borderId="0" applyNumberFormat="0" applyBorder="0" applyAlignment="0" applyProtection="0"/>
    <xf numFmtId="0" fontId="17" fillId="11" borderId="0" applyNumberFormat="0" applyBorder="0" applyAlignment="0" applyProtection="0"/>
    <xf numFmtId="0" fontId="7" fillId="12" borderId="0" applyNumberFormat="0" applyBorder="0" applyAlignment="0" applyProtection="0"/>
    <xf numFmtId="0" fontId="11" fillId="5" borderId="1" applyNumberFormat="0" applyAlignment="0" applyProtection="0"/>
    <xf numFmtId="0" fontId="13" fillId="13" borderId="2"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9" fillId="3" borderId="1" applyNumberFormat="0" applyAlignment="0" applyProtection="0"/>
    <xf numFmtId="0" fontId="12" fillId="0" borderId="6" applyNumberFormat="0" applyFill="0" applyAlignment="0" applyProtection="0"/>
    <xf numFmtId="0" fontId="23" fillId="14" borderId="0" applyBorder="0">
      <alignment vertical="top" shrinkToFit="1"/>
    </xf>
    <xf numFmtId="0" fontId="24" fillId="14" borderId="0" applyBorder="0">
      <alignment vertical="top" shrinkToFit="1"/>
    </xf>
    <xf numFmtId="0" fontId="25" fillId="14" borderId="7">
      <alignment vertical="top" shrinkToFit="1"/>
    </xf>
    <xf numFmtId="0" fontId="25" fillId="14" borderId="8">
      <alignment vertical="top" shrinkToFit="1"/>
    </xf>
    <xf numFmtId="0" fontId="25" fillId="14" borderId="9">
      <alignment vertical="top" shrinkToFit="1"/>
    </xf>
    <xf numFmtId="0" fontId="25" fillId="15" borderId="10">
      <alignment horizontal="left" vertical="top" shrinkToFit="1"/>
      <protection locked="0"/>
    </xf>
    <xf numFmtId="0" fontId="25" fillId="14" borderId="11">
      <alignment vertical="top" shrinkToFit="1"/>
    </xf>
    <xf numFmtId="0" fontId="25" fillId="14" borderId="12">
      <alignment vertical="top" shrinkToFit="1"/>
    </xf>
    <xf numFmtId="0" fontId="25" fillId="14" borderId="13">
      <alignment vertical="top" shrinkToFit="1"/>
    </xf>
    <xf numFmtId="0" fontId="25" fillId="14" borderId="14">
      <alignment vertical="top" shrinkToFit="1"/>
    </xf>
    <xf numFmtId="0" fontId="25" fillId="14" borderId="15">
      <alignment vertical="top" shrinkToFit="1"/>
    </xf>
    <xf numFmtId="0" fontId="25" fillId="14" borderId="16">
      <alignment vertical="top" shrinkToFit="1"/>
    </xf>
    <xf numFmtId="0" fontId="25" fillId="14" borderId="17">
      <alignment vertical="top" shrinkToFit="1"/>
    </xf>
    <xf numFmtId="0" fontId="25" fillId="15" borderId="18">
      <alignment horizontal="left" vertical="top" shrinkToFit="1"/>
      <protection locked="0"/>
    </xf>
    <xf numFmtId="0" fontId="26" fillId="14" borderId="0" applyBorder="0">
      <alignment vertical="top" shrinkToFit="1"/>
    </xf>
    <xf numFmtId="0" fontId="25" fillId="14" borderId="0" applyBorder="0">
      <alignment vertical="top" shrinkToFit="1"/>
    </xf>
    <xf numFmtId="0" fontId="25" fillId="14" borderId="11">
      <alignment horizontal="center" vertical="top" shrinkToFit="1"/>
    </xf>
    <xf numFmtId="0" fontId="25" fillId="14" borderId="12">
      <alignment horizontal="center" vertical="top" shrinkToFit="1"/>
    </xf>
    <xf numFmtId="0" fontId="25" fillId="14" borderId="13">
      <alignment horizontal="center" vertical="top" shrinkToFit="1"/>
    </xf>
    <xf numFmtId="0" fontId="27" fillId="14" borderId="8">
      <alignment vertical="top" shrinkToFit="1"/>
    </xf>
    <xf numFmtId="0" fontId="27" fillId="14" borderId="9">
      <alignment vertical="top" shrinkToFit="1"/>
    </xf>
    <xf numFmtId="0" fontId="27" fillId="15" borderId="8">
      <alignment horizontal="left" vertical="top" shrinkToFit="1"/>
      <protection locked="0"/>
    </xf>
    <xf numFmtId="171" fontId="27" fillId="15" borderId="8">
      <alignment horizontal="right" vertical="top" shrinkToFit="1"/>
      <protection locked="0"/>
    </xf>
    <xf numFmtId="4" fontId="27" fillId="15" borderId="8">
      <alignment horizontal="right" vertical="top" shrinkToFit="1"/>
      <protection locked="0"/>
    </xf>
    <xf numFmtId="166" fontId="27" fillId="15" borderId="8">
      <alignment horizontal="right" vertical="top" shrinkToFit="1"/>
      <protection locked="0"/>
    </xf>
    <xf numFmtId="171" fontId="27" fillId="15" borderId="9">
      <alignment horizontal="right" vertical="top" shrinkToFit="1"/>
      <protection locked="0"/>
    </xf>
    <xf numFmtId="0" fontId="25" fillId="14" borderId="19">
      <alignment vertical="top" shrinkToFit="1"/>
    </xf>
    <xf numFmtId="0" fontId="27" fillId="14" borderId="0" applyBorder="0">
      <alignment vertical="top" shrinkToFit="1"/>
    </xf>
    <xf numFmtId="0" fontId="27" fillId="14" borderId="20">
      <alignment vertical="top" shrinkToFit="1"/>
    </xf>
    <xf numFmtId="0" fontId="27" fillId="15" borderId="0" applyBorder="0">
      <alignment horizontal="left" vertical="top" shrinkToFit="1"/>
      <protection locked="0"/>
    </xf>
    <xf numFmtId="171" fontId="27" fillId="15" borderId="0" applyBorder="0">
      <alignment horizontal="right" vertical="top" shrinkToFit="1"/>
      <protection locked="0"/>
    </xf>
    <xf numFmtId="4" fontId="27" fillId="15" borderId="0" applyBorder="0">
      <alignment horizontal="right" vertical="top" shrinkToFit="1"/>
      <protection locked="0"/>
    </xf>
    <xf numFmtId="166" fontId="27" fillId="15" borderId="0" applyBorder="0">
      <alignment horizontal="right" vertical="top" shrinkToFit="1"/>
      <protection locked="0"/>
    </xf>
    <xf numFmtId="171" fontId="27" fillId="15" borderId="20">
      <alignment horizontal="right" vertical="top" shrinkToFit="1"/>
      <protection locked="0"/>
    </xf>
    <xf numFmtId="0" fontId="27" fillId="14" borderId="16">
      <alignment vertical="top" shrinkToFit="1"/>
    </xf>
    <xf numFmtId="0" fontId="27" fillId="14" borderId="17">
      <alignment vertical="top" shrinkToFit="1"/>
    </xf>
    <xf numFmtId="0" fontId="27" fillId="15" borderId="16">
      <alignment horizontal="left" vertical="top" shrinkToFit="1"/>
      <protection locked="0"/>
    </xf>
    <xf numFmtId="171" fontId="27" fillId="15" borderId="16">
      <alignment horizontal="right" vertical="top" shrinkToFit="1"/>
      <protection locked="0"/>
    </xf>
    <xf numFmtId="4" fontId="27" fillId="15" borderId="16">
      <alignment horizontal="right" vertical="top" shrinkToFit="1"/>
      <protection locked="0"/>
    </xf>
    <xf numFmtId="166" fontId="27" fillId="15" borderId="16">
      <alignment horizontal="right" vertical="top" shrinkToFit="1"/>
      <protection locked="0"/>
    </xf>
    <xf numFmtId="171" fontId="27" fillId="15" borderId="17">
      <alignment horizontal="right" vertical="top" shrinkToFit="1"/>
      <protection locked="0"/>
    </xf>
    <xf numFmtId="0" fontId="28" fillId="14" borderId="8">
      <alignment vertical="top" shrinkToFit="1"/>
    </xf>
    <xf numFmtId="0" fontId="28" fillId="14" borderId="9">
      <alignment vertical="top" shrinkToFit="1"/>
    </xf>
    <xf numFmtId="165" fontId="28" fillId="15" borderId="8">
      <alignment horizontal="right" vertical="top" shrinkToFit="1"/>
      <protection locked="0"/>
    </xf>
    <xf numFmtId="165" fontId="28" fillId="15" borderId="9">
      <alignment horizontal="right" vertical="top" shrinkToFit="1"/>
      <protection locked="0"/>
    </xf>
    <xf numFmtId="0" fontId="28" fillId="14" borderId="0" applyBorder="0">
      <alignment vertical="top" shrinkToFit="1"/>
    </xf>
    <xf numFmtId="0" fontId="28" fillId="14" borderId="20">
      <alignment vertical="top" shrinkToFit="1"/>
    </xf>
    <xf numFmtId="165" fontId="28" fillId="15" borderId="0" applyBorder="0">
      <alignment horizontal="right" vertical="top" shrinkToFit="1"/>
      <protection locked="0"/>
    </xf>
    <xf numFmtId="165" fontId="28" fillId="15" borderId="20">
      <alignment horizontal="right" vertical="top" shrinkToFit="1"/>
      <protection locked="0"/>
    </xf>
    <xf numFmtId="0" fontId="28" fillId="14" borderId="16">
      <alignment vertical="top" shrinkToFit="1"/>
    </xf>
    <xf numFmtId="0" fontId="28" fillId="14" borderId="17">
      <alignment vertical="top" shrinkToFit="1"/>
    </xf>
    <xf numFmtId="165" fontId="28" fillId="15" borderId="16">
      <alignment horizontal="right" vertical="top" shrinkToFit="1"/>
      <protection locked="0"/>
    </xf>
    <xf numFmtId="165" fontId="28" fillId="15" borderId="17">
      <alignment horizontal="right" vertical="top" shrinkToFit="1"/>
      <protection locked="0"/>
    </xf>
    <xf numFmtId="165" fontId="27" fillId="15" borderId="8">
      <alignment horizontal="right" vertical="top" shrinkToFit="1"/>
      <protection locked="0"/>
    </xf>
    <xf numFmtId="165" fontId="27" fillId="15" borderId="9">
      <alignment horizontal="right" vertical="top" shrinkToFit="1"/>
      <protection locked="0"/>
    </xf>
    <xf numFmtId="165" fontId="27" fillId="15" borderId="0" applyBorder="0">
      <alignment horizontal="right" vertical="top" shrinkToFit="1"/>
      <protection locked="0"/>
    </xf>
    <xf numFmtId="165" fontId="27" fillId="15" borderId="20">
      <alignment horizontal="right" vertical="top" shrinkToFit="1"/>
      <protection locked="0"/>
    </xf>
    <xf numFmtId="166" fontId="27" fillId="15" borderId="20">
      <alignment horizontal="right" vertical="top" shrinkToFit="1"/>
      <protection locked="0"/>
    </xf>
    <xf numFmtId="166" fontId="27" fillId="15" borderId="17">
      <alignment horizontal="right" vertical="top" shrinkToFit="1"/>
      <protection locked="0"/>
    </xf>
    <xf numFmtId="3" fontId="27" fillId="15" borderId="8">
      <alignment horizontal="right" vertical="top" shrinkToFit="1"/>
      <protection locked="0"/>
    </xf>
    <xf numFmtId="3" fontId="27" fillId="15" borderId="9">
      <alignment horizontal="right" vertical="top" shrinkToFit="1"/>
      <protection locked="0"/>
    </xf>
    <xf numFmtId="0" fontId="25" fillId="14" borderId="14">
      <alignment horizontal="center" vertical="top" shrinkToFit="1"/>
    </xf>
    <xf numFmtId="168" fontId="28" fillId="14" borderId="8">
      <alignment horizontal="right" vertical="top" shrinkToFit="1"/>
    </xf>
    <xf numFmtId="168" fontId="28" fillId="15" borderId="8">
      <alignment horizontal="right" vertical="top" shrinkToFit="1"/>
      <protection locked="0"/>
    </xf>
    <xf numFmtId="168" fontId="25" fillId="14" borderId="10">
      <alignment horizontal="right" vertical="top" shrinkToFit="1"/>
    </xf>
    <xf numFmtId="168" fontId="28" fillId="14" borderId="0" applyBorder="0">
      <alignment horizontal="right" vertical="top" shrinkToFit="1"/>
    </xf>
    <xf numFmtId="168" fontId="28" fillId="15" borderId="0" applyBorder="0">
      <alignment horizontal="right" vertical="top" shrinkToFit="1"/>
      <protection locked="0"/>
    </xf>
    <xf numFmtId="168" fontId="25" fillId="14" borderId="21">
      <alignment horizontal="right" vertical="top" shrinkToFit="1"/>
    </xf>
    <xf numFmtId="165" fontId="25" fillId="14" borderId="21">
      <alignment horizontal="right" vertical="top" shrinkToFit="1"/>
    </xf>
    <xf numFmtId="165" fontId="25" fillId="14" borderId="18">
      <alignment horizontal="right" vertical="top" shrinkToFit="1"/>
    </xf>
    <xf numFmtId="3" fontId="28" fillId="15" borderId="8">
      <alignment horizontal="right" vertical="top" shrinkToFit="1"/>
      <protection locked="0"/>
    </xf>
    <xf numFmtId="3" fontId="25" fillId="14" borderId="10">
      <alignment horizontal="right" vertical="top" shrinkToFit="1"/>
    </xf>
    <xf numFmtId="3" fontId="28" fillId="15" borderId="16">
      <alignment horizontal="right" vertical="top" shrinkToFit="1"/>
      <protection locked="0"/>
    </xf>
    <xf numFmtId="3" fontId="25" fillId="14" borderId="18">
      <alignment horizontal="right" vertical="top" shrinkToFit="1"/>
    </xf>
    <xf numFmtId="165" fontId="25" fillId="14" borderId="10">
      <alignment horizontal="right" vertical="top" shrinkToFit="1"/>
    </xf>
    <xf numFmtId="166" fontId="28" fillId="15" borderId="8">
      <alignment horizontal="right" vertical="top" shrinkToFit="1"/>
      <protection locked="0"/>
    </xf>
    <xf numFmtId="166" fontId="25" fillId="14" borderId="10">
      <alignment horizontal="right" vertical="top" shrinkToFit="1"/>
    </xf>
    <xf numFmtId="166" fontId="28" fillId="15" borderId="0" applyBorder="0">
      <alignment horizontal="right" vertical="top" shrinkToFit="1"/>
      <protection locked="0"/>
    </xf>
    <xf numFmtId="166" fontId="25" fillId="14" borderId="21">
      <alignment horizontal="right" vertical="top" shrinkToFit="1"/>
    </xf>
    <xf numFmtId="166" fontId="28" fillId="15" borderId="16">
      <alignment horizontal="right" vertical="top" shrinkToFit="1"/>
      <protection locked="0"/>
    </xf>
    <xf numFmtId="166" fontId="25" fillId="14" borderId="18">
      <alignment horizontal="right" vertical="top" shrinkToFit="1"/>
    </xf>
    <xf numFmtId="168" fontId="25" fillId="15" borderId="12">
      <alignment horizontal="right" vertical="top" shrinkToFit="1"/>
      <protection locked="0"/>
    </xf>
    <xf numFmtId="168" fontId="25" fillId="14" borderId="14">
      <alignment horizontal="right" vertical="top" shrinkToFit="1"/>
    </xf>
    <xf numFmtId="0" fontId="25" fillId="15" borderId="14">
      <alignment horizontal="left" vertical="top" shrinkToFit="1"/>
      <protection locked="0"/>
    </xf>
    <xf numFmtId="168" fontId="27" fillId="15" borderId="8">
      <alignment horizontal="right" vertical="top" shrinkToFit="1"/>
      <protection locked="0"/>
    </xf>
    <xf numFmtId="168" fontId="27" fillId="15" borderId="16">
      <alignment horizontal="right" vertical="top" shrinkToFit="1"/>
      <protection locked="0"/>
    </xf>
    <xf numFmtId="168" fontId="25" fillId="14" borderId="18">
      <alignment horizontal="right" vertical="top" shrinkToFit="1"/>
    </xf>
    <xf numFmtId="4" fontId="25" fillId="15" borderId="10">
      <alignment horizontal="right" vertical="top" shrinkToFit="1"/>
      <protection locked="0"/>
    </xf>
    <xf numFmtId="4" fontId="25" fillId="15" borderId="18">
      <alignment horizontal="right" vertical="top" shrinkToFit="1"/>
      <protection locked="0"/>
    </xf>
    <xf numFmtId="168" fontId="25" fillId="15" borderId="8">
      <alignment horizontal="right" vertical="top" shrinkToFit="1"/>
      <protection locked="0"/>
    </xf>
    <xf numFmtId="168" fontId="25" fillId="15" borderId="16">
      <alignment horizontal="right" vertical="top" shrinkToFit="1"/>
      <protection locked="0"/>
    </xf>
    <xf numFmtId="0" fontId="25" fillId="15" borderId="14">
      <alignment horizontal="center" vertical="top" shrinkToFit="1"/>
      <protection locked="0"/>
    </xf>
    <xf numFmtId="168" fontId="24" fillId="15" borderId="8">
      <alignment horizontal="right" vertical="top" shrinkToFit="1"/>
      <protection locked="0"/>
    </xf>
    <xf numFmtId="168" fontId="24" fillId="15" borderId="9">
      <alignment horizontal="right" vertical="top" shrinkToFit="1"/>
      <protection locked="0"/>
    </xf>
    <xf numFmtId="168" fontId="24" fillId="15" borderId="0" applyBorder="0">
      <alignment horizontal="right" vertical="top" shrinkToFit="1"/>
      <protection locked="0"/>
    </xf>
    <xf numFmtId="168" fontId="24" fillId="15" borderId="20">
      <alignment horizontal="right" vertical="top" shrinkToFit="1"/>
      <protection locked="0"/>
    </xf>
    <xf numFmtId="168" fontId="24" fillId="15" borderId="16">
      <alignment horizontal="right" vertical="top" shrinkToFit="1"/>
      <protection locked="0"/>
    </xf>
    <xf numFmtId="168" fontId="24" fillId="15" borderId="17">
      <alignment horizontal="right" vertical="top" shrinkToFit="1"/>
      <protection locked="0"/>
    </xf>
    <xf numFmtId="168" fontId="28" fillId="15" borderId="16">
      <alignment horizontal="right" vertical="top" shrinkToFit="1"/>
      <protection locked="0"/>
    </xf>
    <xf numFmtId="165" fontId="27" fillId="15" borderId="16">
      <alignment horizontal="right" vertical="top" shrinkToFit="1"/>
      <protection locked="0"/>
    </xf>
    <xf numFmtId="165" fontId="27" fillId="15" borderId="17">
      <alignment horizontal="right" vertical="top" shrinkToFit="1"/>
      <protection locked="0"/>
    </xf>
    <xf numFmtId="166" fontId="25" fillId="15" borderId="10">
      <alignment horizontal="right" vertical="top" shrinkToFit="1"/>
      <protection locked="0"/>
    </xf>
    <xf numFmtId="166" fontId="25" fillId="15" borderId="18">
      <alignment horizontal="right" vertical="top" shrinkToFit="1"/>
      <protection locked="0"/>
    </xf>
    <xf numFmtId="168" fontId="25" fillId="15" borderId="10">
      <alignment horizontal="right" vertical="top" shrinkToFit="1"/>
      <protection locked="0"/>
    </xf>
    <xf numFmtId="168" fontId="25" fillId="15" borderId="21">
      <alignment horizontal="right" vertical="top" shrinkToFit="1"/>
      <protection locked="0"/>
    </xf>
    <xf numFmtId="168" fontId="25" fillId="15" borderId="18">
      <alignment horizontal="right" vertical="top" shrinkToFit="1"/>
      <protection locked="0"/>
    </xf>
    <xf numFmtId="165" fontId="25" fillId="14" borderId="12">
      <alignment horizontal="right" vertical="top" shrinkToFit="1"/>
    </xf>
    <xf numFmtId="165" fontId="25" fillId="14" borderId="14">
      <alignment horizontal="right" vertical="top" shrinkToFit="1"/>
    </xf>
    <xf numFmtId="165" fontId="25" fillId="14" borderId="13">
      <alignment horizontal="right" vertical="top" shrinkToFit="1"/>
    </xf>
    <xf numFmtId="0" fontId="25" fillId="14" borderId="10">
      <alignment vertical="top" shrinkToFit="1"/>
    </xf>
    <xf numFmtId="0" fontId="25" fillId="14" borderId="9">
      <alignment horizontal="left" vertical="top" shrinkToFit="1"/>
    </xf>
    <xf numFmtId="0" fontId="27" fillId="14" borderId="21">
      <alignment vertical="top" shrinkToFit="1"/>
    </xf>
    <xf numFmtId="0" fontId="27" fillId="14" borderId="20">
      <alignment horizontal="left" vertical="top" shrinkToFit="1"/>
    </xf>
    <xf numFmtId="0" fontId="25" fillId="14" borderId="21">
      <alignment vertical="top" shrinkToFit="1"/>
    </xf>
    <xf numFmtId="0" fontId="25" fillId="14" borderId="20">
      <alignment horizontal="left" vertical="top" shrinkToFit="1"/>
    </xf>
    <xf numFmtId="0" fontId="25" fillId="14" borderId="13">
      <alignment horizontal="left" vertical="top" shrinkToFit="1"/>
    </xf>
    <xf numFmtId="0" fontId="25" fillId="14" borderId="18">
      <alignment vertical="top" shrinkToFit="1"/>
    </xf>
    <xf numFmtId="0" fontId="25" fillId="14" borderId="17">
      <alignment horizontal="left" vertical="top" shrinkToFit="1"/>
    </xf>
    <xf numFmtId="165" fontId="25" fillId="14" borderId="8">
      <alignment horizontal="right" vertical="top" shrinkToFit="1"/>
    </xf>
    <xf numFmtId="165" fontId="27" fillId="14" borderId="0" applyBorder="0">
      <alignment horizontal="right" vertical="top" shrinkToFit="1"/>
    </xf>
    <xf numFmtId="165" fontId="24" fillId="14" borderId="0" applyBorder="0">
      <alignment horizontal="right" vertical="top" shrinkToFit="1"/>
    </xf>
    <xf numFmtId="165" fontId="25" fillId="14" borderId="0" applyBorder="0">
      <alignment horizontal="right" vertical="top" shrinkToFit="1"/>
    </xf>
    <xf numFmtId="165" fontId="27" fillId="14" borderId="16">
      <alignment horizontal="right" vertical="top" shrinkToFit="1"/>
    </xf>
    <xf numFmtId="0" fontId="25" fillId="14" borderId="8">
      <alignment horizontal="left" vertical="top" shrinkToFit="1"/>
    </xf>
    <xf numFmtId="165" fontId="25" fillId="14" borderId="9">
      <alignment horizontal="right" vertical="top" shrinkToFit="1"/>
    </xf>
    <xf numFmtId="0" fontId="27" fillId="14" borderId="0" applyBorder="0">
      <alignment horizontal="left" vertical="top" shrinkToFit="1"/>
    </xf>
    <xf numFmtId="165" fontId="27" fillId="14" borderId="20">
      <alignment horizontal="right" vertical="top" shrinkToFit="1"/>
    </xf>
    <xf numFmtId="0" fontId="25" fillId="14" borderId="0" applyBorder="0">
      <alignment horizontal="left" vertical="top" shrinkToFit="1"/>
    </xf>
    <xf numFmtId="165" fontId="25" fillId="14" borderId="20">
      <alignment horizontal="right" vertical="top" shrinkToFit="1"/>
    </xf>
    <xf numFmtId="0" fontId="25" fillId="14" borderId="12">
      <alignment horizontal="left" vertical="top" shrinkToFit="1"/>
    </xf>
    <xf numFmtId="0" fontId="25" fillId="14" borderId="16">
      <alignment horizontal="left" vertical="top" shrinkToFit="1"/>
    </xf>
    <xf numFmtId="165" fontId="25" fillId="14" borderId="16">
      <alignment horizontal="right" vertical="top" shrinkToFit="1"/>
    </xf>
    <xf numFmtId="165" fontId="25" fillId="14" borderId="17">
      <alignment horizontal="right" vertical="top" shrinkToFit="1"/>
    </xf>
    <xf numFmtId="171" fontId="25" fillId="14" borderId="8">
      <alignment horizontal="right" vertical="top" shrinkToFit="1"/>
    </xf>
    <xf numFmtId="4" fontId="25" fillId="14" borderId="8">
      <alignment horizontal="right" vertical="top" shrinkToFit="1"/>
    </xf>
    <xf numFmtId="171" fontId="27" fillId="14" borderId="0" applyBorder="0">
      <alignment horizontal="right" vertical="top" shrinkToFit="1"/>
    </xf>
    <xf numFmtId="4" fontId="27" fillId="14" borderId="0" applyBorder="0">
      <alignment horizontal="right" vertical="top" shrinkToFit="1"/>
    </xf>
    <xf numFmtId="171" fontId="25" fillId="14" borderId="0" applyBorder="0">
      <alignment horizontal="right" vertical="top" shrinkToFit="1"/>
    </xf>
    <xf numFmtId="4" fontId="25" fillId="14" borderId="0" applyBorder="0">
      <alignment horizontal="right" vertical="top" shrinkToFit="1"/>
    </xf>
    <xf numFmtId="171" fontId="25" fillId="14" borderId="12">
      <alignment horizontal="right" vertical="top" shrinkToFit="1"/>
    </xf>
    <xf numFmtId="4" fontId="25" fillId="14" borderId="12">
      <alignment horizontal="right" vertical="top" shrinkToFit="1"/>
    </xf>
    <xf numFmtId="171" fontId="25" fillId="14" borderId="16">
      <alignment horizontal="right" vertical="top" shrinkToFit="1"/>
    </xf>
    <xf numFmtId="4" fontId="25" fillId="14" borderId="16">
      <alignment horizontal="right" vertical="top" shrinkToFit="1"/>
    </xf>
    <xf numFmtId="0" fontId="28" fillId="14" borderId="21">
      <alignment vertical="top" shrinkToFit="1"/>
    </xf>
    <xf numFmtId="0" fontId="27" fillId="14" borderId="18">
      <alignment vertical="top" shrinkToFit="1"/>
    </xf>
    <xf numFmtId="168" fontId="25" fillId="14" borderId="8">
      <alignment horizontal="right" vertical="top" shrinkToFit="1"/>
    </xf>
    <xf numFmtId="168" fontId="27" fillId="14" borderId="0" applyBorder="0">
      <alignment horizontal="right" vertical="top" shrinkToFit="1"/>
    </xf>
    <xf numFmtId="168" fontId="24" fillId="14" borderId="0" applyBorder="0">
      <alignment horizontal="right" vertical="top" shrinkToFit="1"/>
    </xf>
    <xf numFmtId="168" fontId="25" fillId="14" borderId="0" applyBorder="0">
      <alignment horizontal="right" vertical="top" shrinkToFit="1"/>
    </xf>
    <xf numFmtId="4" fontId="25" fillId="14" borderId="10">
      <alignment horizontal="right" vertical="top" shrinkToFit="1"/>
    </xf>
    <xf numFmtId="4" fontId="25" fillId="14" borderId="21">
      <alignment horizontal="right" vertical="top" shrinkToFit="1"/>
    </xf>
    <xf numFmtId="4" fontId="25" fillId="14" borderId="18">
      <alignment horizontal="right" vertical="top" shrinkToFit="1"/>
    </xf>
    <xf numFmtId="3" fontId="25" fillId="14" borderId="0" applyBorder="0">
      <alignment horizontal="right" vertical="top" shrinkToFit="1"/>
    </xf>
    <xf numFmtId="3" fontId="25" fillId="14" borderId="21">
      <alignment horizontal="right" vertical="top" shrinkToFit="1"/>
    </xf>
    <xf numFmtId="3" fontId="27" fillId="14" borderId="0" applyBorder="0">
      <alignment horizontal="right" vertical="top" shrinkToFit="1"/>
    </xf>
    <xf numFmtId="3" fontId="24" fillId="14" borderId="0" applyBorder="0">
      <alignment horizontal="right" vertical="top" shrinkToFit="1"/>
    </xf>
    <xf numFmtId="3" fontId="27" fillId="14" borderId="16">
      <alignment horizontal="right" vertical="top" shrinkToFit="1"/>
    </xf>
    <xf numFmtId="168" fontId="27" fillId="14" borderId="16">
      <alignment horizontal="right" vertical="top" shrinkToFit="1"/>
    </xf>
    <xf numFmtId="165" fontId="28" fillId="14" borderId="0" applyBorder="0">
      <alignment horizontal="right" vertical="top" shrinkToFit="1"/>
    </xf>
    <xf numFmtId="0" fontId="28" fillId="14" borderId="18">
      <alignment vertical="top" shrinkToFit="1"/>
    </xf>
    <xf numFmtId="165" fontId="28" fillId="14" borderId="16">
      <alignment horizontal="right" vertical="top" shrinkToFit="1"/>
    </xf>
    <xf numFmtId="167" fontId="25" fillId="14" borderId="10">
      <alignment horizontal="right" vertical="top" shrinkToFit="1"/>
    </xf>
    <xf numFmtId="167" fontId="25" fillId="14" borderId="21">
      <alignment horizontal="right" vertical="top" shrinkToFit="1"/>
    </xf>
    <xf numFmtId="167" fontId="25" fillId="14" borderId="18">
      <alignment horizontal="right" vertical="top" shrinkToFit="1"/>
    </xf>
    <xf numFmtId="0" fontId="25" fillId="14" borderId="10">
      <alignment horizontal="left" vertical="top" shrinkToFit="1"/>
    </xf>
    <xf numFmtId="168" fontId="25" fillId="14" borderId="16">
      <alignment horizontal="right" vertical="top" shrinkToFit="1"/>
    </xf>
    <xf numFmtId="0" fontId="25" fillId="14" borderId="14">
      <alignment horizontal="left" vertical="top" shrinkToFit="1"/>
    </xf>
    <xf numFmtId="168" fontId="25" fillId="14" borderId="12">
      <alignment horizontal="right" vertical="top" shrinkToFit="1"/>
    </xf>
    <xf numFmtId="0" fontId="25" fillId="14" borderId="7">
      <alignment horizontal="center" vertical="top" shrinkToFit="1"/>
    </xf>
    <xf numFmtId="0" fontId="27" fillId="14" borderId="19">
      <alignment horizontal="center" vertical="top" shrinkToFit="1"/>
    </xf>
    <xf numFmtId="0" fontId="28" fillId="14" borderId="15">
      <alignment horizontal="center" vertical="top" shrinkToFit="1"/>
    </xf>
    <xf numFmtId="0" fontId="25" fillId="14" borderId="8">
      <alignment horizontal="center" vertical="top" shrinkToFit="1"/>
    </xf>
    <xf numFmtId="0" fontId="27" fillId="14" borderId="0" applyBorder="0">
      <alignment horizontal="center" vertical="top" shrinkToFit="1"/>
    </xf>
    <xf numFmtId="0" fontId="28" fillId="14" borderId="16">
      <alignment horizontal="center" vertical="top" shrinkToFit="1"/>
    </xf>
    <xf numFmtId="0" fontId="27" fillId="14" borderId="16">
      <alignment horizontal="center" vertical="top" shrinkToFit="1"/>
    </xf>
    <xf numFmtId="0" fontId="25" fillId="14" borderId="0" applyBorder="0">
      <alignment horizontal="center" vertical="top" shrinkToFit="1"/>
    </xf>
    <xf numFmtId="0" fontId="25" fillId="14" borderId="16">
      <alignment horizontal="center" vertical="top" shrinkToFit="1"/>
    </xf>
    <xf numFmtId="0" fontId="25" fillId="14" borderId="9">
      <alignment horizontal="center" vertical="top" shrinkToFit="1"/>
    </xf>
    <xf numFmtId="0" fontId="27" fillId="14" borderId="20">
      <alignment horizontal="center" vertical="top" shrinkToFit="1"/>
    </xf>
    <xf numFmtId="0" fontId="27" fillId="14" borderId="17">
      <alignment horizontal="center" vertical="top" shrinkToFit="1"/>
    </xf>
    <xf numFmtId="168" fontId="27" fillId="14" borderId="8">
      <alignment horizontal="right" vertical="top" shrinkToFit="1"/>
    </xf>
    <xf numFmtId="168" fontId="27" fillId="14" borderId="9">
      <alignment horizontal="right" vertical="top" shrinkToFit="1"/>
    </xf>
    <xf numFmtId="168" fontId="27" fillId="14" borderId="20">
      <alignment horizontal="right" vertical="top" shrinkToFit="1"/>
    </xf>
    <xf numFmtId="168" fontId="25" fillId="14" borderId="13">
      <alignment horizontal="right" vertical="top" shrinkToFit="1"/>
    </xf>
    <xf numFmtId="0" fontId="27" fillId="14" borderId="15">
      <alignment horizontal="center" vertical="top" shrinkToFit="1"/>
    </xf>
    <xf numFmtId="0" fontId="25" fillId="14" borderId="17">
      <alignment horizontal="center" vertical="top" shrinkToFit="1"/>
    </xf>
    <xf numFmtId="168" fontId="25" fillId="14" borderId="9">
      <alignment horizontal="right" vertical="top" shrinkToFit="1"/>
    </xf>
    <xf numFmtId="168" fontId="25" fillId="14" borderId="20">
      <alignment horizontal="right" vertical="top" shrinkToFit="1"/>
    </xf>
    <xf numFmtId="0" fontId="25" fillId="2" borderId="0" applyBorder="0">
      <alignment vertical="top" shrinkToFit="1"/>
    </xf>
    <xf numFmtId="0" fontId="28" fillId="2" borderId="0" applyBorder="0">
      <alignment vertical="top" shrinkToFit="1"/>
    </xf>
    <xf numFmtId="0" fontId="25" fillId="2" borderId="0" applyBorder="0">
      <alignment horizontal="right" vertical="top" shrinkToFit="1"/>
    </xf>
    <xf numFmtId="0" fontId="24" fillId="2" borderId="0" applyBorder="0">
      <alignment vertical="top" shrinkToFit="1"/>
    </xf>
    <xf numFmtId="0" fontId="28" fillId="14" borderId="12">
      <alignment vertical="top" shrinkToFit="1"/>
    </xf>
    <xf numFmtId="0" fontId="25" fillId="14" borderId="12">
      <alignment horizontal="right" vertical="top" shrinkToFit="1"/>
    </xf>
    <xf numFmtId="164" fontId="25" fillId="14" borderId="8">
      <alignment horizontal="right" vertical="top" shrinkToFit="1"/>
    </xf>
    <xf numFmtId="164" fontId="25" fillId="14" borderId="10">
      <alignment horizontal="right" vertical="top" shrinkToFit="1"/>
    </xf>
    <xf numFmtId="164" fontId="24" fillId="14" borderId="0" applyBorder="0">
      <alignment horizontal="right" vertical="top" shrinkToFit="1"/>
    </xf>
    <xf numFmtId="164" fontId="25" fillId="14" borderId="21">
      <alignment horizontal="right" vertical="top" shrinkToFit="1"/>
    </xf>
    <xf numFmtId="164" fontId="25" fillId="14" borderId="0" applyBorder="0">
      <alignment horizontal="right" vertical="top" shrinkToFit="1"/>
    </xf>
    <xf numFmtId="164" fontId="25" fillId="14" borderId="16">
      <alignment horizontal="right" vertical="top" shrinkToFit="1"/>
    </xf>
    <xf numFmtId="164" fontId="25" fillId="14" borderId="18">
      <alignment horizontal="right" vertical="top" shrinkToFit="1"/>
    </xf>
    <xf numFmtId="170" fontId="25" fillId="14" borderId="8">
      <alignment horizontal="right" vertical="top" shrinkToFit="1"/>
    </xf>
    <xf numFmtId="170" fontId="25" fillId="14" borderId="9">
      <alignment horizontal="right" vertical="top" shrinkToFit="1"/>
    </xf>
    <xf numFmtId="170" fontId="25" fillId="14" borderId="0" applyBorder="0">
      <alignment horizontal="right" vertical="top" shrinkToFit="1"/>
    </xf>
    <xf numFmtId="170" fontId="25" fillId="14" borderId="20">
      <alignment horizontal="right" vertical="top" shrinkToFit="1"/>
    </xf>
    <xf numFmtId="170" fontId="25" fillId="14" borderId="12">
      <alignment horizontal="right" vertical="top" shrinkToFit="1"/>
    </xf>
    <xf numFmtId="170" fontId="25" fillId="14" borderId="13">
      <alignment horizontal="right" vertical="top" shrinkToFit="1"/>
    </xf>
    <xf numFmtId="170" fontId="25" fillId="14" borderId="14">
      <alignment horizontal="right" vertical="top" shrinkToFit="1"/>
    </xf>
    <xf numFmtId="166" fontId="25" fillId="14" borderId="8">
      <alignment horizontal="right" vertical="top" shrinkToFit="1"/>
    </xf>
    <xf numFmtId="166" fontId="25" fillId="14" borderId="0" applyBorder="0">
      <alignment horizontal="right" vertical="top" shrinkToFit="1"/>
    </xf>
    <xf numFmtId="166" fontId="25" fillId="14" borderId="12">
      <alignment horizontal="right" vertical="top" shrinkToFit="1"/>
    </xf>
    <xf numFmtId="166" fontId="25" fillId="14" borderId="14">
      <alignment horizontal="right" vertical="top" shrinkToFit="1"/>
    </xf>
    <xf numFmtId="3" fontId="25" fillId="14" borderId="8">
      <alignment horizontal="right" vertical="top" shrinkToFit="1"/>
    </xf>
    <xf numFmtId="3" fontId="25" fillId="14" borderId="12">
      <alignment horizontal="right" vertical="top" shrinkToFit="1"/>
    </xf>
    <xf numFmtId="3" fontId="25" fillId="14" borderId="14">
      <alignment horizontal="right" vertical="top" shrinkToFit="1"/>
    </xf>
    <xf numFmtId="4" fontId="24" fillId="14" borderId="0" applyBorder="0">
      <alignment horizontal="right" vertical="top" shrinkToFit="1"/>
    </xf>
    <xf numFmtId="4" fontId="25" fillId="14" borderId="14">
      <alignment horizontal="right" vertical="top" shrinkToFit="1"/>
    </xf>
    <xf numFmtId="166" fontId="24" fillId="14" borderId="0" applyBorder="0">
      <alignment horizontal="right" vertical="top" shrinkToFit="1"/>
    </xf>
    <xf numFmtId="166" fontId="25" fillId="14" borderId="16">
      <alignment horizontal="right" vertical="top" shrinkToFit="1"/>
    </xf>
    <xf numFmtId="166" fontId="25" fillId="14" borderId="9">
      <alignment horizontal="right" vertical="top" shrinkToFit="1"/>
    </xf>
    <xf numFmtId="166" fontId="25" fillId="14" borderId="20">
      <alignment horizontal="right" vertical="top" shrinkToFit="1"/>
    </xf>
    <xf numFmtId="166" fontId="25" fillId="14" borderId="13">
      <alignment horizontal="right" vertical="top" shrinkToFit="1"/>
    </xf>
    <xf numFmtId="171" fontId="25" fillId="14" borderId="9">
      <alignment horizontal="right" vertical="top" shrinkToFit="1"/>
    </xf>
    <xf numFmtId="171" fontId="25" fillId="14" borderId="17">
      <alignment horizontal="right" vertical="top" shrinkToFit="1"/>
    </xf>
    <xf numFmtId="167" fontId="25" fillId="14" borderId="8">
      <alignment horizontal="right" vertical="top" shrinkToFit="1"/>
    </xf>
    <xf numFmtId="167" fontId="25" fillId="14" borderId="0" applyBorder="0">
      <alignment horizontal="right" vertical="top" shrinkToFit="1"/>
    </xf>
    <xf numFmtId="167" fontId="25" fillId="14" borderId="12">
      <alignment horizontal="right" vertical="top" shrinkToFit="1"/>
    </xf>
    <xf numFmtId="167" fontId="25" fillId="14" borderId="14">
      <alignment horizontal="right" vertical="top" shrinkToFit="1"/>
    </xf>
    <xf numFmtId="172" fontId="25" fillId="14" borderId="12">
      <alignment horizontal="right" vertical="top" shrinkToFit="1"/>
    </xf>
    <xf numFmtId="172" fontId="25" fillId="14" borderId="14">
      <alignment horizontal="right" vertical="top" shrinkToFit="1"/>
    </xf>
    <xf numFmtId="0" fontId="25" fillId="14" borderId="22">
      <alignment horizontal="left" vertical="top" shrinkToFit="1"/>
    </xf>
    <xf numFmtId="170" fontId="24" fillId="15" borderId="22">
      <alignment horizontal="right" vertical="top" shrinkToFit="1"/>
      <protection locked="0"/>
    </xf>
    <xf numFmtId="0" fontId="25" fillId="14" borderId="23">
      <alignment horizontal="left" vertical="top" shrinkToFit="1"/>
    </xf>
    <xf numFmtId="0" fontId="24" fillId="14" borderId="22">
      <alignment vertical="top" shrinkToFit="1"/>
    </xf>
    <xf numFmtId="0" fontId="24" fillId="15" borderId="22">
      <alignment vertical="top" shrinkToFit="1"/>
      <protection locked="0"/>
    </xf>
    <xf numFmtId="0" fontId="25" fillId="15" borderId="22">
      <alignment vertical="top" shrinkToFit="1"/>
      <protection locked="0"/>
    </xf>
    <xf numFmtId="0" fontId="27" fillId="15" borderId="22">
      <alignment vertical="top" shrinkToFit="1"/>
      <protection locked="0"/>
    </xf>
    <xf numFmtId="169" fontId="21" fillId="14" borderId="20">
      <alignment horizontal="right" vertical="top" shrinkToFit="1"/>
    </xf>
    <xf numFmtId="169" fontId="21" fillId="14" borderId="16">
      <alignment horizontal="right" vertical="top" shrinkToFit="1"/>
    </xf>
    <xf numFmtId="169" fontId="21" fillId="14" borderId="17">
      <alignment horizontal="right" vertical="top" shrinkToFit="1"/>
    </xf>
    <xf numFmtId="166" fontId="21" fillId="14" borderId="8">
      <alignment horizontal="right" vertical="top" shrinkToFit="1"/>
    </xf>
    <xf numFmtId="166" fontId="21" fillId="14" borderId="9">
      <alignment horizontal="right" vertical="top" shrinkToFit="1"/>
    </xf>
    <xf numFmtId="166" fontId="19" fillId="14" borderId="0" applyBorder="0">
      <alignment horizontal="right" vertical="top" shrinkToFit="1"/>
    </xf>
    <xf numFmtId="166" fontId="19" fillId="14" borderId="20">
      <alignment horizontal="right" vertical="top" shrinkToFit="1"/>
    </xf>
    <xf numFmtId="166" fontId="21" fillId="14" borderId="16">
      <alignment horizontal="right" vertical="top" shrinkToFit="1"/>
    </xf>
    <xf numFmtId="166" fontId="21" fillId="14" borderId="17">
      <alignment horizontal="right" vertical="top" shrinkToFit="1"/>
    </xf>
    <xf numFmtId="167" fontId="20" fillId="14" borderId="9">
      <alignment horizontal="right" vertical="top" shrinkToFit="1"/>
    </xf>
    <xf numFmtId="167" fontId="20" fillId="14" borderId="20">
      <alignment horizontal="right" vertical="top" shrinkToFit="1"/>
    </xf>
    <xf numFmtId="167" fontId="21" fillId="14" borderId="20">
      <alignment horizontal="right" vertical="top" shrinkToFit="1"/>
    </xf>
    <xf numFmtId="167" fontId="20" fillId="14" borderId="13">
      <alignment horizontal="right" vertical="top" shrinkToFit="1"/>
    </xf>
    <xf numFmtId="0" fontId="20" fillId="14" borderId="23">
      <alignment horizontal="left" vertical="top" shrinkToFit="1"/>
    </xf>
    <xf numFmtId="0" fontId="20" fillId="14" borderId="22">
      <alignment horizontal="left" vertical="top" shrinkToFit="1"/>
    </xf>
    <xf numFmtId="0" fontId="19" fillId="14" borderId="22">
      <alignment vertical="top" shrinkToFit="1"/>
    </xf>
    <xf numFmtId="0" fontId="19" fillId="15" borderId="22">
      <alignment vertical="top" shrinkToFit="1"/>
      <protection locked="0"/>
    </xf>
    <xf numFmtId="0" fontId="20" fillId="15" borderId="22">
      <alignment vertical="top" shrinkToFit="1"/>
      <protection locked="0"/>
    </xf>
    <xf numFmtId="0" fontId="21" fillId="15" borderId="22">
      <alignment vertical="top" shrinkToFit="1"/>
      <protection locked="0"/>
    </xf>
    <xf numFmtId="0" fontId="22" fillId="15" borderId="22">
      <alignment vertical="top" shrinkToFit="1"/>
      <protection locked="0"/>
    </xf>
    <xf numFmtId="0" fontId="8" fillId="4" borderId="0" applyNumberFormat="0" applyBorder="0" applyAlignment="0" applyProtection="0"/>
    <xf numFmtId="0" fontId="1" fillId="4" borderId="24" applyNumberFormat="0" applyFont="0" applyAlignment="0" applyProtection="0"/>
    <xf numFmtId="0" fontId="10" fillId="5" borderId="25" applyNumberFormat="0" applyAlignment="0" applyProtection="0"/>
    <xf numFmtId="0" fontId="2" fillId="0" borderId="0" applyNumberFormat="0" applyFill="0" applyBorder="0" applyAlignment="0" applyProtection="0"/>
    <xf numFmtId="0" fontId="16" fillId="0" borderId="26" applyNumberFormat="0" applyFill="0" applyAlignment="0" applyProtection="0"/>
    <xf numFmtId="0" fontId="14" fillId="0" borderId="0" applyNumberFormat="0" applyFill="0" applyBorder="0" applyAlignment="0" applyProtection="0"/>
    <xf numFmtId="0" fontId="35" fillId="0" borderId="0" applyNumberFormat="0" applyFill="0" applyBorder="0" applyAlignment="0" applyProtection="0">
      <alignment vertical="top"/>
      <protection locked="0"/>
    </xf>
    <xf numFmtId="0" fontId="1" fillId="0" borderId="27">
      <alignment vertical="center"/>
    </xf>
  </cellStyleXfs>
  <cellXfs count="273">
    <xf numFmtId="0" fontId="0" fillId="0" borderId="0" xfId="0">
      <alignment vertical="center"/>
    </xf>
    <xf numFmtId="0" fontId="24" fillId="14" borderId="0" xfId="37">
      <alignment vertical="top" shrinkToFit="1"/>
    </xf>
    <xf numFmtId="0" fontId="26" fillId="14" borderId="0" xfId="50">
      <alignment vertical="top" shrinkToFit="1"/>
    </xf>
    <xf numFmtId="0" fontId="25" fillId="14" borderId="0" xfId="51">
      <alignment vertical="top" shrinkToFit="1"/>
    </xf>
    <xf numFmtId="170" fontId="0" fillId="0" borderId="0" xfId="0" applyNumberFormat="1">
      <alignment vertical="center"/>
    </xf>
    <xf numFmtId="0" fontId="25" fillId="14" borderId="7" xfId="38">
      <alignment vertical="top" shrinkToFit="1"/>
    </xf>
    <xf numFmtId="0" fontId="25" fillId="14" borderId="8" xfId="39">
      <alignment vertical="top" shrinkToFit="1"/>
    </xf>
    <xf numFmtId="0" fontId="25" fillId="14" borderId="9" xfId="40">
      <alignment vertical="top" shrinkToFit="1"/>
    </xf>
    <xf numFmtId="0" fontId="25" fillId="15" borderId="10" xfId="41">
      <alignment horizontal="left" vertical="top" shrinkToFit="1"/>
      <protection locked="0"/>
    </xf>
    <xf numFmtId="0" fontId="25" fillId="14" borderId="11" xfId="42">
      <alignment vertical="top" shrinkToFit="1"/>
    </xf>
    <xf numFmtId="0" fontId="25" fillId="14" borderId="12" xfId="43">
      <alignment vertical="top" shrinkToFit="1"/>
    </xf>
    <xf numFmtId="0" fontId="25" fillId="14" borderId="13" xfId="44">
      <alignment vertical="top" shrinkToFit="1"/>
    </xf>
    <xf numFmtId="0" fontId="25" fillId="14" borderId="14" xfId="45">
      <alignment vertical="top" shrinkToFit="1"/>
    </xf>
    <xf numFmtId="0" fontId="25" fillId="14" borderId="15" xfId="46">
      <alignment vertical="top" shrinkToFit="1"/>
    </xf>
    <xf numFmtId="0" fontId="25" fillId="14" borderId="16" xfId="47">
      <alignment vertical="top" shrinkToFit="1"/>
    </xf>
    <xf numFmtId="0" fontId="25" fillId="14" borderId="17" xfId="48">
      <alignment vertical="top" shrinkToFit="1"/>
    </xf>
    <xf numFmtId="0" fontId="25" fillId="15" borderId="18" xfId="49">
      <alignment horizontal="left" vertical="top" shrinkToFit="1"/>
      <protection locked="0"/>
    </xf>
    <xf numFmtId="0" fontId="25" fillId="14" borderId="11" xfId="52">
      <alignment horizontal="center" vertical="top" shrinkToFit="1"/>
    </xf>
    <xf numFmtId="0" fontId="25" fillId="14" borderId="12" xfId="53">
      <alignment horizontal="center" vertical="top" shrinkToFit="1"/>
    </xf>
    <xf numFmtId="0" fontId="25" fillId="14" borderId="13" xfId="54">
      <alignment horizontal="center" vertical="top" shrinkToFit="1"/>
    </xf>
    <xf numFmtId="0" fontId="27" fillId="14" borderId="8" xfId="55">
      <alignment vertical="top" shrinkToFit="1"/>
    </xf>
    <xf numFmtId="0" fontId="27" fillId="14" borderId="9" xfId="56">
      <alignment vertical="top" shrinkToFit="1"/>
    </xf>
    <xf numFmtId="0" fontId="27" fillId="15" borderId="8" xfId="57">
      <alignment horizontal="left" vertical="top" shrinkToFit="1"/>
      <protection locked="0"/>
    </xf>
    <xf numFmtId="171" fontId="27" fillId="15" borderId="8" xfId="58">
      <alignment horizontal="right" vertical="top" shrinkToFit="1"/>
      <protection locked="0"/>
    </xf>
    <xf numFmtId="4" fontId="27" fillId="15" borderId="8" xfId="59">
      <alignment horizontal="right" vertical="top" shrinkToFit="1"/>
      <protection locked="0"/>
    </xf>
    <xf numFmtId="166" fontId="27" fillId="15" borderId="8" xfId="60">
      <alignment horizontal="right" vertical="top" shrinkToFit="1"/>
      <protection locked="0"/>
    </xf>
    <xf numFmtId="171" fontId="27" fillId="15" borderId="9" xfId="61">
      <alignment horizontal="right" vertical="top" shrinkToFit="1"/>
      <protection locked="0"/>
    </xf>
    <xf numFmtId="0" fontId="25" fillId="14" borderId="19" xfId="62">
      <alignment vertical="top" shrinkToFit="1"/>
    </xf>
    <xf numFmtId="0" fontId="27" fillId="14" borderId="0" xfId="63">
      <alignment vertical="top" shrinkToFit="1"/>
    </xf>
    <xf numFmtId="0" fontId="27" fillId="14" borderId="20" xfId="64">
      <alignment vertical="top" shrinkToFit="1"/>
    </xf>
    <xf numFmtId="0" fontId="27" fillId="15" borderId="0" xfId="65">
      <alignment horizontal="left" vertical="top" shrinkToFit="1"/>
      <protection locked="0"/>
    </xf>
    <xf numFmtId="171" fontId="27" fillId="15" borderId="0" xfId="66">
      <alignment horizontal="right" vertical="top" shrinkToFit="1"/>
      <protection locked="0"/>
    </xf>
    <xf numFmtId="4" fontId="27" fillId="15" borderId="0" xfId="67">
      <alignment horizontal="right" vertical="top" shrinkToFit="1"/>
      <protection locked="0"/>
    </xf>
    <xf numFmtId="166" fontId="27" fillId="15" borderId="0" xfId="68">
      <alignment horizontal="right" vertical="top" shrinkToFit="1"/>
      <protection locked="0"/>
    </xf>
    <xf numFmtId="171" fontId="27" fillId="15" borderId="20" xfId="69">
      <alignment horizontal="right" vertical="top" shrinkToFit="1"/>
      <protection locked="0"/>
    </xf>
    <xf numFmtId="0" fontId="27" fillId="14" borderId="16" xfId="70">
      <alignment vertical="top" shrinkToFit="1"/>
    </xf>
    <xf numFmtId="0" fontId="27" fillId="14" borderId="17" xfId="71">
      <alignment vertical="top" shrinkToFit="1"/>
    </xf>
    <xf numFmtId="0" fontId="27" fillId="15" borderId="16" xfId="72">
      <alignment horizontal="left" vertical="top" shrinkToFit="1"/>
      <protection locked="0"/>
    </xf>
    <xf numFmtId="171" fontId="27" fillId="15" borderId="16" xfId="73">
      <alignment horizontal="right" vertical="top" shrinkToFit="1"/>
      <protection locked="0"/>
    </xf>
    <xf numFmtId="4" fontId="27" fillId="15" borderId="16" xfId="74">
      <alignment horizontal="right" vertical="top" shrinkToFit="1"/>
      <protection locked="0"/>
    </xf>
    <xf numFmtId="166" fontId="27" fillId="15" borderId="16" xfId="75">
      <alignment horizontal="right" vertical="top" shrinkToFit="1"/>
      <protection locked="0"/>
    </xf>
    <xf numFmtId="171" fontId="27" fillId="15" borderId="17" xfId="76">
      <alignment horizontal="right" vertical="top" shrinkToFit="1"/>
      <protection locked="0"/>
    </xf>
    <xf numFmtId="0" fontId="28" fillId="14" borderId="8" xfId="77">
      <alignment vertical="top" shrinkToFit="1"/>
    </xf>
    <xf numFmtId="0" fontId="28" fillId="14" borderId="9" xfId="78">
      <alignment vertical="top" shrinkToFit="1"/>
    </xf>
    <xf numFmtId="165" fontId="28" fillId="15" borderId="8" xfId="79">
      <alignment horizontal="right" vertical="top" shrinkToFit="1"/>
      <protection locked="0"/>
    </xf>
    <xf numFmtId="165" fontId="28" fillId="15" borderId="9" xfId="80">
      <alignment horizontal="right" vertical="top" shrinkToFit="1"/>
      <protection locked="0"/>
    </xf>
    <xf numFmtId="0" fontId="28" fillId="14" borderId="0" xfId="81">
      <alignment vertical="top" shrinkToFit="1"/>
    </xf>
    <xf numFmtId="0" fontId="28" fillId="14" borderId="20" xfId="82">
      <alignment vertical="top" shrinkToFit="1"/>
    </xf>
    <xf numFmtId="165" fontId="28" fillId="15" borderId="0" xfId="83">
      <alignment horizontal="right" vertical="top" shrinkToFit="1"/>
      <protection locked="0"/>
    </xf>
    <xf numFmtId="165" fontId="28" fillId="15" borderId="20" xfId="84">
      <alignment horizontal="right" vertical="top" shrinkToFit="1"/>
      <protection locked="0"/>
    </xf>
    <xf numFmtId="0" fontId="28" fillId="14" borderId="16" xfId="85">
      <alignment vertical="top" shrinkToFit="1"/>
    </xf>
    <xf numFmtId="0" fontId="28" fillId="14" borderId="17" xfId="86">
      <alignment vertical="top" shrinkToFit="1"/>
    </xf>
    <xf numFmtId="165" fontId="28" fillId="15" borderId="16" xfId="87">
      <alignment horizontal="right" vertical="top" shrinkToFit="1"/>
      <protection locked="0"/>
    </xf>
    <xf numFmtId="165" fontId="28" fillId="15" borderId="17" xfId="88">
      <alignment horizontal="right" vertical="top" shrinkToFit="1"/>
      <protection locked="0"/>
    </xf>
    <xf numFmtId="165" fontId="27" fillId="15" borderId="8" xfId="89">
      <alignment horizontal="right" vertical="top" shrinkToFit="1"/>
      <protection locked="0"/>
    </xf>
    <xf numFmtId="165" fontId="27" fillId="15" borderId="9" xfId="90">
      <alignment horizontal="right" vertical="top" shrinkToFit="1"/>
      <protection locked="0"/>
    </xf>
    <xf numFmtId="165" fontId="27" fillId="15" borderId="0" xfId="91">
      <alignment horizontal="right" vertical="top" shrinkToFit="1"/>
      <protection locked="0"/>
    </xf>
    <xf numFmtId="165" fontId="27" fillId="15" borderId="20" xfId="92">
      <alignment horizontal="right" vertical="top" shrinkToFit="1"/>
      <protection locked="0"/>
    </xf>
    <xf numFmtId="166" fontId="27" fillId="15" borderId="20" xfId="93">
      <alignment horizontal="right" vertical="top" shrinkToFit="1"/>
      <protection locked="0"/>
    </xf>
    <xf numFmtId="166" fontId="27" fillId="15" borderId="17" xfId="94">
      <alignment horizontal="right" vertical="top" shrinkToFit="1"/>
      <protection locked="0"/>
    </xf>
    <xf numFmtId="3" fontId="27" fillId="15" borderId="8" xfId="95">
      <alignment horizontal="right" vertical="top" shrinkToFit="1"/>
      <protection locked="0"/>
    </xf>
    <xf numFmtId="3" fontId="27" fillId="15" borderId="9" xfId="96">
      <alignment horizontal="right" vertical="top" shrinkToFit="1"/>
      <protection locked="0"/>
    </xf>
    <xf numFmtId="0" fontId="25" fillId="14" borderId="14" xfId="97">
      <alignment horizontal="center" vertical="top" shrinkToFit="1"/>
    </xf>
    <xf numFmtId="168" fontId="28" fillId="14" borderId="8" xfId="98">
      <alignment horizontal="right" vertical="top" shrinkToFit="1"/>
    </xf>
    <xf numFmtId="168" fontId="28" fillId="15" borderId="8" xfId="99">
      <alignment horizontal="right" vertical="top" shrinkToFit="1"/>
      <protection locked="0"/>
    </xf>
    <xf numFmtId="168" fontId="25" fillId="14" borderId="10" xfId="100">
      <alignment horizontal="right" vertical="top" shrinkToFit="1"/>
    </xf>
    <xf numFmtId="168" fontId="28" fillId="14" borderId="0" xfId="101">
      <alignment horizontal="right" vertical="top" shrinkToFit="1"/>
    </xf>
    <xf numFmtId="168" fontId="28" fillId="15" borderId="0" xfId="102">
      <alignment horizontal="right" vertical="top" shrinkToFit="1"/>
      <protection locked="0"/>
    </xf>
    <xf numFmtId="168" fontId="25" fillId="14" borderId="21" xfId="103">
      <alignment horizontal="right" vertical="top" shrinkToFit="1"/>
    </xf>
    <xf numFmtId="165" fontId="25" fillId="14" borderId="21" xfId="104">
      <alignment horizontal="right" vertical="top" shrinkToFit="1"/>
    </xf>
    <xf numFmtId="165" fontId="25" fillId="14" borderId="18" xfId="105">
      <alignment horizontal="right" vertical="top" shrinkToFit="1"/>
    </xf>
    <xf numFmtId="3" fontId="28" fillId="15" borderId="8" xfId="106">
      <alignment horizontal="right" vertical="top" shrinkToFit="1"/>
      <protection locked="0"/>
    </xf>
    <xf numFmtId="3" fontId="25" fillId="14" borderId="10" xfId="107">
      <alignment horizontal="right" vertical="top" shrinkToFit="1"/>
    </xf>
    <xf numFmtId="3" fontId="28" fillId="15" borderId="16" xfId="108">
      <alignment horizontal="right" vertical="top" shrinkToFit="1"/>
      <protection locked="0"/>
    </xf>
    <xf numFmtId="3" fontId="25" fillId="14" borderId="18" xfId="109">
      <alignment horizontal="right" vertical="top" shrinkToFit="1"/>
    </xf>
    <xf numFmtId="165" fontId="25" fillId="14" borderId="10" xfId="110">
      <alignment horizontal="right" vertical="top" shrinkToFit="1"/>
    </xf>
    <xf numFmtId="166" fontId="28" fillId="15" borderId="8" xfId="111">
      <alignment horizontal="right" vertical="top" shrinkToFit="1"/>
      <protection locked="0"/>
    </xf>
    <xf numFmtId="166" fontId="25" fillId="14" borderId="10" xfId="112">
      <alignment horizontal="right" vertical="top" shrinkToFit="1"/>
    </xf>
    <xf numFmtId="166" fontId="28" fillId="15" borderId="0" xfId="113">
      <alignment horizontal="right" vertical="top" shrinkToFit="1"/>
      <protection locked="0"/>
    </xf>
    <xf numFmtId="166" fontId="25" fillId="14" borderId="21" xfId="114">
      <alignment horizontal="right" vertical="top" shrinkToFit="1"/>
    </xf>
    <xf numFmtId="166" fontId="28" fillId="15" borderId="16" xfId="115">
      <alignment horizontal="right" vertical="top" shrinkToFit="1"/>
      <protection locked="0"/>
    </xf>
    <xf numFmtId="166" fontId="25" fillId="14" borderId="18" xfId="116">
      <alignment horizontal="right" vertical="top" shrinkToFit="1"/>
    </xf>
    <xf numFmtId="168" fontId="25" fillId="15" borderId="12" xfId="117">
      <alignment horizontal="right" vertical="top" shrinkToFit="1"/>
      <protection locked="0"/>
    </xf>
    <xf numFmtId="168" fontId="25" fillId="14" borderId="14" xfId="118">
      <alignment horizontal="right" vertical="top" shrinkToFit="1"/>
    </xf>
    <xf numFmtId="0" fontId="25" fillId="15" borderId="14" xfId="119">
      <alignment horizontal="left" vertical="top" shrinkToFit="1"/>
      <protection locked="0"/>
    </xf>
    <xf numFmtId="168" fontId="27" fillId="15" borderId="8" xfId="120">
      <alignment horizontal="right" vertical="top" shrinkToFit="1"/>
      <protection locked="0"/>
    </xf>
    <xf numFmtId="168" fontId="27" fillId="15" borderId="16" xfId="121">
      <alignment horizontal="right" vertical="top" shrinkToFit="1"/>
      <protection locked="0"/>
    </xf>
    <xf numFmtId="168" fontId="25" fillId="14" borderId="18" xfId="122">
      <alignment horizontal="right" vertical="top" shrinkToFit="1"/>
    </xf>
    <xf numFmtId="4" fontId="25" fillId="15" borderId="10" xfId="123">
      <alignment horizontal="right" vertical="top" shrinkToFit="1"/>
      <protection locked="0"/>
    </xf>
    <xf numFmtId="4" fontId="25" fillId="15" borderId="18" xfId="124">
      <alignment horizontal="right" vertical="top" shrinkToFit="1"/>
      <protection locked="0"/>
    </xf>
    <xf numFmtId="168" fontId="25" fillId="15" borderId="8" xfId="125">
      <alignment horizontal="right" vertical="top" shrinkToFit="1"/>
      <protection locked="0"/>
    </xf>
    <xf numFmtId="168" fontId="25" fillId="15" borderId="16" xfId="126">
      <alignment horizontal="right" vertical="top" shrinkToFit="1"/>
      <protection locked="0"/>
    </xf>
    <xf numFmtId="0" fontId="25" fillId="15" borderId="14" xfId="127">
      <alignment horizontal="center" vertical="top" shrinkToFit="1"/>
      <protection locked="0"/>
    </xf>
    <xf numFmtId="168" fontId="24" fillId="15" borderId="8" xfId="128">
      <alignment horizontal="right" vertical="top" shrinkToFit="1"/>
      <protection locked="0"/>
    </xf>
    <xf numFmtId="168" fontId="24" fillId="15" borderId="9" xfId="129">
      <alignment horizontal="right" vertical="top" shrinkToFit="1"/>
      <protection locked="0"/>
    </xf>
    <xf numFmtId="168" fontId="24" fillId="15" borderId="0" xfId="130">
      <alignment horizontal="right" vertical="top" shrinkToFit="1"/>
      <protection locked="0"/>
    </xf>
    <xf numFmtId="168" fontId="24" fillId="15" borderId="20" xfId="131">
      <alignment horizontal="right" vertical="top" shrinkToFit="1"/>
      <protection locked="0"/>
    </xf>
    <xf numFmtId="168" fontId="24" fillId="15" borderId="16" xfId="132">
      <alignment horizontal="right" vertical="top" shrinkToFit="1"/>
      <protection locked="0"/>
    </xf>
    <xf numFmtId="168" fontId="24" fillId="15" borderId="17" xfId="133">
      <alignment horizontal="right" vertical="top" shrinkToFit="1"/>
      <protection locked="0"/>
    </xf>
    <xf numFmtId="168" fontId="28" fillId="15" borderId="16" xfId="134">
      <alignment horizontal="right" vertical="top" shrinkToFit="1"/>
      <protection locked="0"/>
    </xf>
    <xf numFmtId="165" fontId="27" fillId="15" borderId="16" xfId="135">
      <alignment horizontal="right" vertical="top" shrinkToFit="1"/>
      <protection locked="0"/>
    </xf>
    <xf numFmtId="165" fontId="27" fillId="15" borderId="17" xfId="136">
      <alignment horizontal="right" vertical="top" shrinkToFit="1"/>
      <protection locked="0"/>
    </xf>
    <xf numFmtId="166" fontId="25" fillId="15" borderId="10" xfId="137">
      <alignment horizontal="right" vertical="top" shrinkToFit="1"/>
      <protection locked="0"/>
    </xf>
    <xf numFmtId="166" fontId="25" fillId="15" borderId="18" xfId="138">
      <alignment horizontal="right" vertical="top" shrinkToFit="1"/>
      <protection locked="0"/>
    </xf>
    <xf numFmtId="168" fontId="25" fillId="15" borderId="10" xfId="139">
      <alignment horizontal="right" vertical="top" shrinkToFit="1"/>
      <protection locked="0"/>
    </xf>
    <xf numFmtId="168" fontId="25" fillId="15" borderId="21" xfId="140">
      <alignment horizontal="right" vertical="top" shrinkToFit="1"/>
      <protection locked="0"/>
    </xf>
    <xf numFmtId="168" fontId="25" fillId="15" borderId="18" xfId="141">
      <alignment horizontal="right" vertical="top" shrinkToFit="1"/>
      <protection locked="0"/>
    </xf>
    <xf numFmtId="165" fontId="25" fillId="14" borderId="12" xfId="142">
      <alignment horizontal="right" vertical="top" shrinkToFit="1"/>
    </xf>
    <xf numFmtId="165" fontId="25" fillId="14" borderId="14" xfId="143">
      <alignment horizontal="right" vertical="top" shrinkToFit="1"/>
    </xf>
    <xf numFmtId="165" fontId="25" fillId="14" borderId="13" xfId="144">
      <alignment horizontal="right" vertical="top" shrinkToFit="1"/>
    </xf>
    <xf numFmtId="165" fontId="25" fillId="14" borderId="8" xfId="154">
      <alignment horizontal="right" vertical="top" shrinkToFit="1"/>
    </xf>
    <xf numFmtId="0" fontId="25" fillId="14" borderId="10" xfId="145">
      <alignment vertical="top" shrinkToFit="1"/>
    </xf>
    <xf numFmtId="0" fontId="25" fillId="14" borderId="9" xfId="146">
      <alignment horizontal="left" vertical="top" shrinkToFit="1"/>
    </xf>
    <xf numFmtId="165" fontId="27" fillId="14" borderId="0" xfId="155">
      <alignment horizontal="right" vertical="top" shrinkToFit="1"/>
    </xf>
    <xf numFmtId="0" fontId="27" fillId="14" borderId="21" xfId="147">
      <alignment vertical="top" shrinkToFit="1"/>
    </xf>
    <xf numFmtId="0" fontId="27" fillId="14" borderId="20" xfId="148">
      <alignment horizontal="left" vertical="top" shrinkToFit="1"/>
    </xf>
    <xf numFmtId="165" fontId="24" fillId="14" borderId="0" xfId="156">
      <alignment horizontal="right" vertical="top" shrinkToFit="1"/>
    </xf>
    <xf numFmtId="0" fontId="25" fillId="14" borderId="21" xfId="149">
      <alignment vertical="top" shrinkToFit="1"/>
    </xf>
    <xf numFmtId="0" fontId="25" fillId="14" borderId="20" xfId="150">
      <alignment horizontal="left" vertical="top" shrinkToFit="1"/>
    </xf>
    <xf numFmtId="0" fontId="25" fillId="14" borderId="13" xfId="151">
      <alignment horizontal="left" vertical="top" shrinkToFit="1"/>
    </xf>
    <xf numFmtId="165" fontId="25" fillId="14" borderId="0" xfId="157">
      <alignment horizontal="right" vertical="top" shrinkToFit="1"/>
    </xf>
    <xf numFmtId="0" fontId="25" fillId="14" borderId="18" xfId="152">
      <alignment vertical="top" shrinkToFit="1"/>
    </xf>
    <xf numFmtId="0" fontId="25" fillId="14" borderId="17" xfId="153">
      <alignment horizontal="left" vertical="top" shrinkToFit="1"/>
    </xf>
    <xf numFmtId="165" fontId="27" fillId="14" borderId="16" xfId="158">
      <alignment horizontal="right" vertical="top" shrinkToFit="1"/>
    </xf>
    <xf numFmtId="0" fontId="25" fillId="14" borderId="8" xfId="159">
      <alignment horizontal="left" vertical="top" shrinkToFit="1"/>
    </xf>
    <xf numFmtId="165" fontId="25" fillId="14" borderId="9" xfId="160">
      <alignment horizontal="right" vertical="top" shrinkToFit="1"/>
    </xf>
    <xf numFmtId="0" fontId="27" fillId="14" borderId="0" xfId="161">
      <alignment horizontal="left" vertical="top" shrinkToFit="1"/>
    </xf>
    <xf numFmtId="165" fontId="27" fillId="14" borderId="20" xfId="162">
      <alignment horizontal="right" vertical="top" shrinkToFit="1"/>
    </xf>
    <xf numFmtId="0" fontId="25" fillId="14" borderId="0" xfId="163">
      <alignment horizontal="left" vertical="top" shrinkToFit="1"/>
    </xf>
    <xf numFmtId="165" fontId="25" fillId="14" borderId="20" xfId="164">
      <alignment horizontal="right" vertical="top" shrinkToFit="1"/>
    </xf>
    <xf numFmtId="0" fontId="25" fillId="14" borderId="12" xfId="165">
      <alignment horizontal="left" vertical="top" shrinkToFit="1"/>
    </xf>
    <xf numFmtId="0" fontId="25" fillId="14" borderId="16" xfId="166">
      <alignment horizontal="left" vertical="top" shrinkToFit="1"/>
    </xf>
    <xf numFmtId="165" fontId="25" fillId="14" borderId="16" xfId="167">
      <alignment horizontal="right" vertical="top" shrinkToFit="1"/>
    </xf>
    <xf numFmtId="165" fontId="25" fillId="14" borderId="17" xfId="168">
      <alignment horizontal="right" vertical="top" shrinkToFit="1"/>
    </xf>
    <xf numFmtId="171" fontId="25" fillId="14" borderId="8" xfId="169">
      <alignment horizontal="right" vertical="top" shrinkToFit="1"/>
    </xf>
    <xf numFmtId="4" fontId="25" fillId="14" borderId="8" xfId="170">
      <alignment horizontal="right" vertical="top" shrinkToFit="1"/>
    </xf>
    <xf numFmtId="171" fontId="27" fillId="14" borderId="0" xfId="171">
      <alignment horizontal="right" vertical="top" shrinkToFit="1"/>
    </xf>
    <xf numFmtId="4" fontId="27" fillId="14" borderId="0" xfId="172">
      <alignment horizontal="right" vertical="top" shrinkToFit="1"/>
    </xf>
    <xf numFmtId="171" fontId="25" fillId="14" borderId="0" xfId="173">
      <alignment horizontal="right" vertical="top" shrinkToFit="1"/>
    </xf>
    <xf numFmtId="4" fontId="25" fillId="14" borderId="0" xfId="174">
      <alignment horizontal="right" vertical="top" shrinkToFit="1"/>
    </xf>
    <xf numFmtId="171" fontId="25" fillId="14" borderId="12" xfId="175">
      <alignment horizontal="right" vertical="top" shrinkToFit="1"/>
    </xf>
    <xf numFmtId="4" fontId="25" fillId="14" borderId="12" xfId="176">
      <alignment horizontal="right" vertical="top" shrinkToFit="1"/>
    </xf>
    <xf numFmtId="171" fontId="25" fillId="14" borderId="16" xfId="177">
      <alignment horizontal="right" vertical="top" shrinkToFit="1"/>
    </xf>
    <xf numFmtId="4" fontId="25" fillId="14" borderId="16" xfId="178">
      <alignment horizontal="right" vertical="top" shrinkToFit="1"/>
    </xf>
    <xf numFmtId="0" fontId="28" fillId="14" borderId="21" xfId="179">
      <alignment vertical="top" shrinkToFit="1"/>
    </xf>
    <xf numFmtId="0" fontId="27" fillId="14" borderId="18" xfId="180">
      <alignment vertical="top" shrinkToFit="1"/>
    </xf>
    <xf numFmtId="168" fontId="25" fillId="14" borderId="8" xfId="181">
      <alignment horizontal="right" vertical="top" shrinkToFit="1"/>
    </xf>
    <xf numFmtId="168" fontId="27" fillId="14" borderId="0" xfId="182">
      <alignment horizontal="right" vertical="top" shrinkToFit="1"/>
    </xf>
    <xf numFmtId="168" fontId="24" fillId="14" borderId="0" xfId="183">
      <alignment horizontal="right" vertical="top" shrinkToFit="1"/>
    </xf>
    <xf numFmtId="168" fontId="25" fillId="14" borderId="0" xfId="184">
      <alignment horizontal="right" vertical="top" shrinkToFit="1"/>
    </xf>
    <xf numFmtId="4" fontId="25" fillId="14" borderId="10" xfId="185">
      <alignment horizontal="right" vertical="top" shrinkToFit="1"/>
    </xf>
    <xf numFmtId="4" fontId="25" fillId="14" borderId="21" xfId="186">
      <alignment horizontal="right" vertical="top" shrinkToFit="1"/>
    </xf>
    <xf numFmtId="4" fontId="25" fillId="14" borderId="18" xfId="187">
      <alignment horizontal="right" vertical="top" shrinkToFit="1"/>
    </xf>
    <xf numFmtId="3" fontId="25" fillId="14" borderId="0" xfId="188">
      <alignment horizontal="right" vertical="top" shrinkToFit="1"/>
    </xf>
    <xf numFmtId="3" fontId="25" fillId="14" borderId="21" xfId="189">
      <alignment horizontal="right" vertical="top" shrinkToFit="1"/>
    </xf>
    <xf numFmtId="3" fontId="27" fillId="14" borderId="0" xfId="190">
      <alignment horizontal="right" vertical="top" shrinkToFit="1"/>
    </xf>
    <xf numFmtId="3" fontId="24" fillId="14" borderId="0" xfId="191">
      <alignment horizontal="right" vertical="top" shrinkToFit="1"/>
    </xf>
    <xf numFmtId="3" fontId="27" fillId="14" borderId="16" xfId="192">
      <alignment horizontal="right" vertical="top" shrinkToFit="1"/>
    </xf>
    <xf numFmtId="168" fontId="27" fillId="14" borderId="16" xfId="193">
      <alignment horizontal="right" vertical="top" shrinkToFit="1"/>
    </xf>
    <xf numFmtId="165" fontId="28" fillId="14" borderId="0" xfId="194">
      <alignment horizontal="right" vertical="top" shrinkToFit="1"/>
    </xf>
    <xf numFmtId="0" fontId="28" fillId="14" borderId="18" xfId="195">
      <alignment vertical="top" shrinkToFit="1"/>
    </xf>
    <xf numFmtId="165" fontId="28" fillId="14" borderId="16" xfId="196">
      <alignment horizontal="right" vertical="top" shrinkToFit="1"/>
    </xf>
    <xf numFmtId="167" fontId="25" fillId="14" borderId="10" xfId="197">
      <alignment horizontal="right" vertical="top" shrinkToFit="1"/>
    </xf>
    <xf numFmtId="167" fontId="25" fillId="14" borderId="21" xfId="198">
      <alignment horizontal="right" vertical="top" shrinkToFit="1"/>
    </xf>
    <xf numFmtId="167" fontId="25" fillId="14" borderId="18" xfId="199">
      <alignment horizontal="right" vertical="top" shrinkToFit="1"/>
    </xf>
    <xf numFmtId="0" fontId="25" fillId="14" borderId="10" xfId="200">
      <alignment horizontal="left" vertical="top" shrinkToFit="1"/>
    </xf>
    <xf numFmtId="168" fontId="25" fillId="14" borderId="16" xfId="201">
      <alignment horizontal="right" vertical="top" shrinkToFit="1"/>
    </xf>
    <xf numFmtId="0" fontId="25" fillId="14" borderId="14" xfId="202">
      <alignment horizontal="left" vertical="top" shrinkToFit="1"/>
    </xf>
    <xf numFmtId="168" fontId="25" fillId="14" borderId="12" xfId="203">
      <alignment horizontal="right" vertical="top" shrinkToFit="1"/>
    </xf>
    <xf numFmtId="0" fontId="25" fillId="14" borderId="7" xfId="204">
      <alignment horizontal="center" vertical="top" shrinkToFit="1"/>
    </xf>
    <xf numFmtId="0" fontId="25" fillId="14" borderId="8" xfId="207">
      <alignment horizontal="center" vertical="top" shrinkToFit="1"/>
    </xf>
    <xf numFmtId="0" fontId="25" fillId="14" borderId="9" xfId="213">
      <alignment horizontal="center" vertical="top" shrinkToFit="1"/>
    </xf>
    <xf numFmtId="0" fontId="27" fillId="14" borderId="19" xfId="205">
      <alignment horizontal="center" vertical="top" shrinkToFit="1"/>
    </xf>
    <xf numFmtId="0" fontId="27" fillId="14" borderId="0" xfId="208">
      <alignment horizontal="center" vertical="top" shrinkToFit="1"/>
    </xf>
    <xf numFmtId="0" fontId="25" fillId="14" borderId="0" xfId="211">
      <alignment horizontal="center" vertical="top" shrinkToFit="1"/>
    </xf>
    <xf numFmtId="0" fontId="27" fillId="14" borderId="20" xfId="214">
      <alignment horizontal="center" vertical="top" shrinkToFit="1"/>
    </xf>
    <xf numFmtId="0" fontId="28" fillId="14" borderId="15" xfId="206">
      <alignment horizontal="center" vertical="top" shrinkToFit="1"/>
    </xf>
    <xf numFmtId="0" fontId="28" fillId="14" borderId="16" xfId="209">
      <alignment horizontal="center" vertical="top" shrinkToFit="1"/>
    </xf>
    <xf numFmtId="0" fontId="27" fillId="14" borderId="16" xfId="210">
      <alignment horizontal="center" vertical="top" shrinkToFit="1"/>
    </xf>
    <xf numFmtId="0" fontId="25" fillId="14" borderId="16" xfId="212">
      <alignment horizontal="center" vertical="top" shrinkToFit="1"/>
    </xf>
    <xf numFmtId="0" fontId="27" fillId="14" borderId="17" xfId="215">
      <alignment horizontal="center" vertical="top" shrinkToFit="1"/>
    </xf>
    <xf numFmtId="168" fontId="27" fillId="14" borderId="8" xfId="216">
      <alignment horizontal="right" vertical="top" shrinkToFit="1"/>
    </xf>
    <xf numFmtId="168" fontId="27" fillId="14" borderId="9" xfId="217">
      <alignment horizontal="right" vertical="top" shrinkToFit="1"/>
    </xf>
    <xf numFmtId="168" fontId="27" fillId="14" borderId="20" xfId="218">
      <alignment horizontal="right" vertical="top" shrinkToFit="1"/>
    </xf>
    <xf numFmtId="168" fontId="25" fillId="14" borderId="13" xfId="219">
      <alignment horizontal="right" vertical="top" shrinkToFit="1"/>
    </xf>
    <xf numFmtId="0" fontId="27" fillId="14" borderId="15" xfId="220">
      <alignment horizontal="center" vertical="top" shrinkToFit="1"/>
    </xf>
    <xf numFmtId="0" fontId="25" fillId="14" borderId="17" xfId="221">
      <alignment horizontal="center" vertical="top" shrinkToFit="1"/>
    </xf>
    <xf numFmtId="168" fontId="25" fillId="14" borderId="9" xfId="222">
      <alignment horizontal="right" vertical="top" shrinkToFit="1"/>
    </xf>
    <xf numFmtId="168" fontId="25" fillId="14" borderId="20" xfId="223">
      <alignment horizontal="right" vertical="top" shrinkToFit="1"/>
    </xf>
    <xf numFmtId="0" fontId="25" fillId="2" borderId="0" xfId="224">
      <alignment vertical="top" shrinkToFit="1"/>
    </xf>
    <xf numFmtId="0" fontId="28" fillId="2" borderId="0" xfId="225">
      <alignment vertical="top" shrinkToFit="1"/>
    </xf>
    <xf numFmtId="0" fontId="25" fillId="2" borderId="0" xfId="226">
      <alignment horizontal="right" vertical="top" shrinkToFit="1"/>
    </xf>
    <xf numFmtId="0" fontId="24" fillId="2" borderId="0" xfId="227">
      <alignment vertical="top" shrinkToFit="1"/>
    </xf>
    <xf numFmtId="0" fontId="28" fillId="14" borderId="12" xfId="228">
      <alignment vertical="top" shrinkToFit="1"/>
    </xf>
    <xf numFmtId="0" fontId="25" fillId="14" borderId="12" xfId="229">
      <alignment horizontal="right" vertical="top" shrinkToFit="1"/>
    </xf>
    <xf numFmtId="164" fontId="25" fillId="14" borderId="8" xfId="230">
      <alignment horizontal="right" vertical="top" shrinkToFit="1"/>
    </xf>
    <xf numFmtId="164" fontId="25" fillId="14" borderId="10" xfId="231">
      <alignment horizontal="right" vertical="top" shrinkToFit="1"/>
    </xf>
    <xf numFmtId="164" fontId="24" fillId="14" borderId="0" xfId="232">
      <alignment horizontal="right" vertical="top" shrinkToFit="1"/>
    </xf>
    <xf numFmtId="164" fontId="25" fillId="14" borderId="21" xfId="233">
      <alignment horizontal="right" vertical="top" shrinkToFit="1"/>
    </xf>
    <xf numFmtId="164" fontId="25" fillId="14" borderId="0" xfId="234">
      <alignment horizontal="right" vertical="top" shrinkToFit="1"/>
    </xf>
    <xf numFmtId="164" fontId="25" fillId="14" borderId="16" xfId="235">
      <alignment horizontal="right" vertical="top" shrinkToFit="1"/>
    </xf>
    <xf numFmtId="164" fontId="25" fillId="14" borderId="18" xfId="236">
      <alignment horizontal="right" vertical="top" shrinkToFit="1"/>
    </xf>
    <xf numFmtId="170" fontId="25" fillId="14" borderId="8" xfId="237">
      <alignment horizontal="right" vertical="top" shrinkToFit="1"/>
    </xf>
    <xf numFmtId="170" fontId="25" fillId="14" borderId="9" xfId="238">
      <alignment horizontal="right" vertical="top" shrinkToFit="1"/>
    </xf>
    <xf numFmtId="170" fontId="25" fillId="14" borderId="0" xfId="239">
      <alignment horizontal="right" vertical="top" shrinkToFit="1"/>
    </xf>
    <xf numFmtId="170" fontId="25" fillId="14" borderId="20" xfId="240">
      <alignment horizontal="right" vertical="top" shrinkToFit="1"/>
    </xf>
    <xf numFmtId="170" fontId="25" fillId="14" borderId="12" xfId="241">
      <alignment horizontal="right" vertical="top" shrinkToFit="1"/>
    </xf>
    <xf numFmtId="170" fontId="25" fillId="14" borderId="13" xfId="242">
      <alignment horizontal="right" vertical="top" shrinkToFit="1"/>
    </xf>
    <xf numFmtId="170" fontId="25" fillId="14" borderId="14" xfId="243">
      <alignment horizontal="right" vertical="top" shrinkToFit="1"/>
    </xf>
    <xf numFmtId="166" fontId="25" fillId="14" borderId="8" xfId="244">
      <alignment horizontal="right" vertical="top" shrinkToFit="1"/>
    </xf>
    <xf numFmtId="166" fontId="25" fillId="14" borderId="0" xfId="245">
      <alignment horizontal="right" vertical="top" shrinkToFit="1"/>
    </xf>
    <xf numFmtId="166" fontId="25" fillId="14" borderId="12" xfId="246">
      <alignment horizontal="right" vertical="top" shrinkToFit="1"/>
    </xf>
    <xf numFmtId="166" fontId="25" fillId="14" borderId="14" xfId="247">
      <alignment horizontal="right" vertical="top" shrinkToFit="1"/>
    </xf>
    <xf numFmtId="3" fontId="25" fillId="14" borderId="8" xfId="248">
      <alignment horizontal="right" vertical="top" shrinkToFit="1"/>
    </xf>
    <xf numFmtId="3" fontId="25" fillId="14" borderId="12" xfId="249">
      <alignment horizontal="right" vertical="top" shrinkToFit="1"/>
    </xf>
    <xf numFmtId="3" fontId="25" fillId="14" borderId="14" xfId="250">
      <alignment horizontal="right" vertical="top" shrinkToFit="1"/>
    </xf>
    <xf numFmtId="4" fontId="24" fillId="14" borderId="0" xfId="251">
      <alignment horizontal="right" vertical="top" shrinkToFit="1"/>
    </xf>
    <xf numFmtId="4" fontId="25" fillId="14" borderId="14" xfId="252">
      <alignment horizontal="right" vertical="top" shrinkToFit="1"/>
    </xf>
    <xf numFmtId="166" fontId="24" fillId="14" borderId="0" xfId="253">
      <alignment horizontal="right" vertical="top" shrinkToFit="1"/>
    </xf>
    <xf numFmtId="166" fontId="25" fillId="14" borderId="16" xfId="254">
      <alignment horizontal="right" vertical="top" shrinkToFit="1"/>
    </xf>
    <xf numFmtId="166" fontId="25" fillId="14" borderId="9" xfId="255">
      <alignment horizontal="right" vertical="top" shrinkToFit="1"/>
    </xf>
    <xf numFmtId="166" fontId="25" fillId="14" borderId="20" xfId="256">
      <alignment horizontal="right" vertical="top" shrinkToFit="1"/>
    </xf>
    <xf numFmtId="166" fontId="25" fillId="14" borderId="13" xfId="257">
      <alignment horizontal="right" vertical="top" shrinkToFit="1"/>
    </xf>
    <xf numFmtId="171" fontId="25" fillId="14" borderId="9" xfId="258">
      <alignment horizontal="right" vertical="top" shrinkToFit="1"/>
    </xf>
    <xf numFmtId="171" fontId="25" fillId="14" borderId="17" xfId="259">
      <alignment horizontal="right" vertical="top" shrinkToFit="1"/>
    </xf>
    <xf numFmtId="167" fontId="25" fillId="14" borderId="8" xfId="260">
      <alignment horizontal="right" vertical="top" shrinkToFit="1"/>
    </xf>
    <xf numFmtId="167" fontId="25" fillId="14" borderId="0" xfId="261">
      <alignment horizontal="right" vertical="top" shrinkToFit="1"/>
    </xf>
    <xf numFmtId="167" fontId="25" fillId="14" borderId="12" xfId="262">
      <alignment horizontal="right" vertical="top" shrinkToFit="1"/>
    </xf>
    <xf numFmtId="167" fontId="25" fillId="14" borderId="14" xfId="263">
      <alignment horizontal="right" vertical="top" shrinkToFit="1"/>
    </xf>
    <xf numFmtId="172" fontId="25" fillId="14" borderId="12" xfId="264">
      <alignment horizontal="right" vertical="top" shrinkToFit="1"/>
    </xf>
    <xf numFmtId="172" fontId="25" fillId="14" borderId="14" xfId="265">
      <alignment horizontal="right" vertical="top" shrinkToFit="1"/>
    </xf>
    <xf numFmtId="0" fontId="25" fillId="14" borderId="22" xfId="266">
      <alignment horizontal="left" vertical="top" shrinkToFit="1"/>
    </xf>
    <xf numFmtId="170" fontId="24" fillId="15" borderId="22" xfId="267">
      <alignment horizontal="right" vertical="top" shrinkToFit="1"/>
      <protection locked="0"/>
    </xf>
    <xf numFmtId="0" fontId="25" fillId="14" borderId="23" xfId="268">
      <alignment horizontal="left" vertical="top" shrinkToFit="1"/>
    </xf>
    <xf numFmtId="0" fontId="24" fillId="15" borderId="22" xfId="270">
      <alignment vertical="top" shrinkToFit="1"/>
      <protection locked="0"/>
    </xf>
    <xf numFmtId="0" fontId="24" fillId="14" borderId="22" xfId="269">
      <alignment vertical="top" shrinkToFit="1"/>
    </xf>
    <xf numFmtId="0" fontId="25" fillId="15" borderId="22" xfId="271">
      <alignment vertical="top" shrinkToFit="1"/>
      <protection locked="0"/>
    </xf>
    <xf numFmtId="0" fontId="27" fillId="15" borderId="22" xfId="272">
      <alignment vertical="top" shrinkToFit="1"/>
      <protection locked="0"/>
    </xf>
    <xf numFmtId="168" fontId="0" fillId="0" borderId="0" xfId="0" applyNumberFormat="1">
      <alignment vertical="center"/>
    </xf>
    <xf numFmtId="165" fontId="0" fillId="0" borderId="0" xfId="0" applyNumberFormat="1">
      <alignment vertical="center"/>
    </xf>
    <xf numFmtId="164" fontId="0" fillId="0" borderId="0" xfId="0" applyNumberFormat="1">
      <alignment vertical="center"/>
    </xf>
    <xf numFmtId="0" fontId="0" fillId="0" borderId="0" xfId="0" quotePrefix="1">
      <alignment vertical="center"/>
    </xf>
    <xf numFmtId="0" fontId="25" fillId="14" borderId="23" xfId="268" applyAlignment="1">
      <alignment horizontal="left" vertical="top" wrapText="1" shrinkToFit="1"/>
    </xf>
    <xf numFmtId="0" fontId="24" fillId="15" borderId="22" xfId="270" applyAlignment="1">
      <alignment vertical="top" wrapText="1" shrinkToFit="1"/>
      <protection locked="0"/>
    </xf>
    <xf numFmtId="0" fontId="0" fillId="0" borderId="0" xfId="0" applyAlignment="1">
      <alignment vertical="center" wrapText="1"/>
    </xf>
    <xf numFmtId="0" fontId="30" fillId="0" borderId="27" xfId="0" applyFont="1" applyBorder="1" applyAlignment="1">
      <alignment horizontal="left" vertical="center" wrapText="1" indent="4"/>
    </xf>
    <xf numFmtId="0" fontId="0" fillId="0" borderId="27" xfId="0" applyBorder="1">
      <alignment vertical="center"/>
    </xf>
    <xf numFmtId="0" fontId="31" fillId="0" borderId="27" xfId="0" applyFont="1" applyBorder="1" applyAlignment="1">
      <alignment horizontal="center" vertical="center" wrapText="1"/>
    </xf>
    <xf numFmtId="0" fontId="32" fillId="0" borderId="28" xfId="0" applyFont="1" applyBorder="1" applyAlignment="1">
      <alignment vertical="center" wrapText="1"/>
    </xf>
    <xf numFmtId="0" fontId="0" fillId="0" borderId="27" xfId="0" applyFont="1" applyBorder="1" applyAlignment="1">
      <alignment vertical="center" wrapText="1"/>
    </xf>
    <xf numFmtId="0" fontId="0" fillId="0" borderId="27" xfId="0" applyBorder="1" applyAlignment="1">
      <alignment vertical="center" wrapText="1"/>
    </xf>
    <xf numFmtId="0" fontId="35" fillId="0" borderId="28" xfId="299" applyBorder="1" applyAlignment="1" applyProtection="1">
      <alignment vertical="center" wrapText="1"/>
    </xf>
    <xf numFmtId="0" fontId="36" fillId="0" borderId="27" xfId="0" applyFont="1" applyBorder="1" applyAlignment="1">
      <alignment vertical="center" wrapText="1"/>
    </xf>
    <xf numFmtId="0" fontId="34" fillId="0" borderId="27" xfId="0" applyFont="1" applyBorder="1" applyAlignment="1">
      <alignment vertical="center" wrapText="1"/>
    </xf>
    <xf numFmtId="0" fontId="0" fillId="0" borderId="27" xfId="0" applyBorder="1" applyAlignment="1">
      <alignment horizontal="left" vertical="center" wrapText="1" indent="1"/>
    </xf>
    <xf numFmtId="0" fontId="0" fillId="0" borderId="27" xfId="0" applyBorder="1" applyAlignment="1">
      <alignment horizontal="left" vertical="center" wrapText="1" indent="2"/>
    </xf>
    <xf numFmtId="0" fontId="35" fillId="0" borderId="27" xfId="299" applyBorder="1" applyAlignment="1" applyProtection="1">
      <alignment horizontal="left" vertical="center" wrapText="1" indent="1"/>
    </xf>
    <xf numFmtId="0" fontId="1" fillId="0" borderId="28" xfId="300" applyFont="1" applyBorder="1" applyAlignment="1">
      <alignment horizontal="left" vertical="center" wrapText="1" indent="1"/>
    </xf>
    <xf numFmtId="0" fontId="0" fillId="0" borderId="0" xfId="0" applyBorder="1" applyAlignment="1">
      <alignment vertical="center" wrapText="1"/>
    </xf>
    <xf numFmtId="0" fontId="1" fillId="0" borderId="28" xfId="300" applyNumberFormat="1" applyFont="1" applyBorder="1" applyAlignment="1">
      <alignment vertical="center" wrapText="1"/>
    </xf>
    <xf numFmtId="0" fontId="1" fillId="0" borderId="28" xfId="300" applyFont="1" applyBorder="1" applyAlignment="1">
      <alignment vertical="center" wrapText="1"/>
    </xf>
    <xf numFmtId="0" fontId="1" fillId="0" borderId="28" xfId="300" applyFont="1" applyBorder="1" applyAlignment="1">
      <alignment vertical="top" wrapText="1"/>
    </xf>
    <xf numFmtId="0" fontId="0" fillId="0" borderId="27" xfId="0" applyNumberFormat="1" applyBorder="1" applyAlignment="1">
      <alignment horizontal="left" vertical="center" wrapText="1"/>
    </xf>
    <xf numFmtId="0" fontId="35" fillId="0" borderId="0" xfId="299" applyBorder="1" applyAlignment="1" applyProtection="1">
      <alignment vertical="center" wrapText="1"/>
    </xf>
    <xf numFmtId="0" fontId="0" fillId="16" borderId="14" xfId="0" applyFill="1" applyBorder="1" applyAlignment="1">
      <alignment vertical="center" wrapText="1"/>
    </xf>
    <xf numFmtId="0" fontId="0" fillId="0" borderId="29" xfId="0" applyBorder="1" applyAlignment="1">
      <alignment vertical="center" wrapText="1"/>
    </xf>
    <xf numFmtId="0" fontId="0" fillId="0" borderId="27" xfId="0" applyNumberFormat="1" applyBorder="1" applyAlignment="1">
      <alignment vertical="center" wrapText="1"/>
    </xf>
    <xf numFmtId="0" fontId="35" fillId="0" borderId="0" xfId="299" applyAlignment="1" applyProtection="1">
      <alignment horizontal="center" vertical="center"/>
    </xf>
    <xf numFmtId="0" fontId="35" fillId="0" borderId="28" xfId="299" applyBorder="1" applyAlignment="1" applyProtection="1">
      <alignment horizontal="center" vertical="center" wrapText="1"/>
    </xf>
    <xf numFmtId="0" fontId="24" fillId="14" borderId="0" xfId="37">
      <alignment vertical="top" shrinkToFit="1"/>
    </xf>
    <xf numFmtId="0" fontId="23" fillId="14" borderId="0" xfId="36">
      <alignment vertical="top" shrinkToFit="1"/>
    </xf>
    <xf numFmtId="0" fontId="26" fillId="14" borderId="0" xfId="50">
      <alignment vertical="top" shrinkToFit="1"/>
    </xf>
    <xf numFmtId="0" fontId="25" fillId="14" borderId="0" xfId="51">
      <alignment vertical="top" shrinkToFit="1"/>
    </xf>
  </cellXfs>
  <cellStyles count="30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299" builtinId="8"/>
    <cellStyle name="Input" xfId="34" builtinId="20" customBuiltin="1"/>
    <cellStyle name="Linked Cell" xfId="35" builtinId="24" customBuiltin="1"/>
    <cellStyle name="MSSStyle001" xfId="36"/>
    <cellStyle name="MSSStyle002" xfId="37"/>
    <cellStyle name="MSSStyle003" xfId="38"/>
    <cellStyle name="MSSStyle004" xfId="39"/>
    <cellStyle name="MSSStyle005" xfId="40"/>
    <cellStyle name="MSSStyle006" xfId="41"/>
    <cellStyle name="MSSStyle007" xfId="42"/>
    <cellStyle name="MSSStyle008" xfId="43"/>
    <cellStyle name="MSSStyle009" xfId="44"/>
    <cellStyle name="MSSStyle010" xfId="45"/>
    <cellStyle name="MSSStyle011" xfId="46"/>
    <cellStyle name="MSSStyle012" xfId="47"/>
    <cellStyle name="MSSStyle013" xfId="48"/>
    <cellStyle name="MSSStyle014" xfId="49"/>
    <cellStyle name="MSSStyle015" xfId="50"/>
    <cellStyle name="MSSStyle016" xfId="51"/>
    <cellStyle name="MSSStyle017" xfId="52"/>
    <cellStyle name="MSSStyle018" xfId="53"/>
    <cellStyle name="MSSStyle019" xfId="54"/>
    <cellStyle name="MSSStyle020" xfId="55"/>
    <cellStyle name="MSSStyle021" xfId="56"/>
    <cellStyle name="MSSStyle022" xfId="57"/>
    <cellStyle name="MSSStyle023" xfId="58"/>
    <cellStyle name="MSSStyle024" xfId="59"/>
    <cellStyle name="MSSStyle025" xfId="60"/>
    <cellStyle name="MSSStyle026" xfId="61"/>
    <cellStyle name="MSSStyle027" xfId="62"/>
    <cellStyle name="MSSStyle028" xfId="63"/>
    <cellStyle name="MSSStyle029" xfId="64"/>
    <cellStyle name="MSSStyle030" xfId="65"/>
    <cellStyle name="MSSStyle031" xfId="66"/>
    <cellStyle name="MSSStyle032" xfId="67"/>
    <cellStyle name="MSSStyle033" xfId="68"/>
    <cellStyle name="MSSStyle034" xfId="69"/>
    <cellStyle name="MSSStyle035" xfId="70"/>
    <cellStyle name="MSSStyle036" xfId="71"/>
    <cellStyle name="MSSStyle037" xfId="72"/>
    <cellStyle name="MSSStyle038" xfId="73"/>
    <cellStyle name="MSSStyle039" xfId="74"/>
    <cellStyle name="MSSStyle040" xfId="75"/>
    <cellStyle name="MSSStyle041" xfId="76"/>
    <cellStyle name="MSSStyle042" xfId="77"/>
    <cellStyle name="MSSStyle043" xfId="78"/>
    <cellStyle name="MSSStyle044" xfId="79"/>
    <cellStyle name="MSSStyle045" xfId="80"/>
    <cellStyle name="MSSStyle046" xfId="81"/>
    <cellStyle name="MSSStyle047" xfId="82"/>
    <cellStyle name="MSSStyle048" xfId="83"/>
    <cellStyle name="MSSStyle049" xfId="84"/>
    <cellStyle name="MSSStyle050" xfId="85"/>
    <cellStyle name="MSSStyle051" xfId="86"/>
    <cellStyle name="MSSStyle052" xfId="87"/>
    <cellStyle name="MSSStyle053" xfId="88"/>
    <cellStyle name="MSSStyle054" xfId="89"/>
    <cellStyle name="MSSStyle055" xfId="90"/>
    <cellStyle name="MSSStyle056" xfId="91"/>
    <cellStyle name="MSSStyle057" xfId="92"/>
    <cellStyle name="MSSStyle058" xfId="93"/>
    <cellStyle name="MSSStyle059" xfId="94"/>
    <cellStyle name="MSSStyle060" xfId="95"/>
    <cellStyle name="MSSStyle061" xfId="96"/>
    <cellStyle name="MSSStyle062" xfId="97"/>
    <cellStyle name="MSSStyle063" xfId="98"/>
    <cellStyle name="MSSStyle064" xfId="99"/>
    <cellStyle name="MSSStyle065" xfId="100"/>
    <cellStyle name="MSSStyle066" xfId="101"/>
    <cellStyle name="MSSStyle067" xfId="102"/>
    <cellStyle name="MSSStyle068" xfId="103"/>
    <cellStyle name="MSSStyle069" xfId="104"/>
    <cellStyle name="MSSStyle070" xfId="105"/>
    <cellStyle name="MSSStyle071" xfId="106"/>
    <cellStyle name="MSSStyle072" xfId="107"/>
    <cellStyle name="MSSStyle073" xfId="108"/>
    <cellStyle name="MSSStyle074" xfId="109"/>
    <cellStyle name="MSSStyle075" xfId="110"/>
    <cellStyle name="MSSStyle076" xfId="111"/>
    <cellStyle name="MSSStyle077" xfId="112"/>
    <cellStyle name="MSSStyle078" xfId="113"/>
    <cellStyle name="MSSStyle079" xfId="114"/>
    <cellStyle name="MSSStyle080" xfId="115"/>
    <cellStyle name="MSSStyle081" xfId="116"/>
    <cellStyle name="MSSStyle082" xfId="117"/>
    <cellStyle name="MSSStyle083" xfId="118"/>
    <cellStyle name="MSSStyle084" xfId="119"/>
    <cellStyle name="MSSStyle085" xfId="120"/>
    <cellStyle name="MSSStyle086" xfId="121"/>
    <cellStyle name="MSSStyle087" xfId="122"/>
    <cellStyle name="MSSStyle088" xfId="123"/>
    <cellStyle name="MSSStyle089" xfId="124"/>
    <cellStyle name="MSSStyle090" xfId="125"/>
    <cellStyle name="MSSStyle091" xfId="126"/>
    <cellStyle name="MSSStyle092" xfId="127"/>
    <cellStyle name="MSSStyle093" xfId="128"/>
    <cellStyle name="MSSStyle094" xfId="129"/>
    <cellStyle name="MSSStyle095" xfId="130"/>
    <cellStyle name="MSSStyle096" xfId="131"/>
    <cellStyle name="MSSStyle097" xfId="132"/>
    <cellStyle name="MSSStyle098" xfId="133"/>
    <cellStyle name="MSSStyle099" xfId="134"/>
    <cellStyle name="MSSStyle100" xfId="135"/>
    <cellStyle name="MSSStyle101" xfId="136"/>
    <cellStyle name="MSSStyle102" xfId="137"/>
    <cellStyle name="MSSStyle103" xfId="138"/>
    <cellStyle name="MSSStyle104" xfId="139"/>
    <cellStyle name="MSSStyle105" xfId="140"/>
    <cellStyle name="MSSStyle106" xfId="141"/>
    <cellStyle name="MSSStyle107" xfId="142"/>
    <cellStyle name="MSSStyle108" xfId="143"/>
    <cellStyle name="MSSStyle109" xfId="144"/>
    <cellStyle name="MSSStyle110" xfId="145"/>
    <cellStyle name="MSSStyle111" xfId="146"/>
    <cellStyle name="MSSStyle112" xfId="147"/>
    <cellStyle name="MSSStyle113" xfId="148"/>
    <cellStyle name="MSSStyle114" xfId="149"/>
    <cellStyle name="MSSStyle115" xfId="150"/>
    <cellStyle name="MSSStyle116" xfId="151"/>
    <cellStyle name="MSSStyle117" xfId="152"/>
    <cellStyle name="MSSStyle118" xfId="153"/>
    <cellStyle name="MSSStyle119" xfId="154"/>
    <cellStyle name="MSSStyle120" xfId="155"/>
    <cellStyle name="MSSStyle121" xfId="156"/>
    <cellStyle name="MSSStyle122" xfId="157"/>
    <cellStyle name="MSSStyle123" xfId="158"/>
    <cellStyle name="MSSStyle124" xfId="159"/>
    <cellStyle name="MSSStyle125" xfId="160"/>
    <cellStyle name="MSSStyle126" xfId="161"/>
    <cellStyle name="MSSStyle127" xfId="162"/>
    <cellStyle name="MSSStyle128" xfId="163"/>
    <cellStyle name="MSSStyle129" xfId="164"/>
    <cellStyle name="MSSStyle130" xfId="165"/>
    <cellStyle name="MSSStyle131" xfId="166"/>
    <cellStyle name="MSSStyle132" xfId="167"/>
    <cellStyle name="MSSStyle133" xfId="168"/>
    <cellStyle name="MSSStyle134" xfId="169"/>
    <cellStyle name="MSSStyle135" xfId="170"/>
    <cellStyle name="MSSStyle136" xfId="171"/>
    <cellStyle name="MSSStyle137" xfId="172"/>
    <cellStyle name="MSSStyle138" xfId="173"/>
    <cellStyle name="MSSStyle139" xfId="174"/>
    <cellStyle name="MSSStyle140" xfId="175"/>
    <cellStyle name="MSSStyle141" xfId="176"/>
    <cellStyle name="MSSStyle142" xfId="177"/>
    <cellStyle name="MSSStyle143" xfId="178"/>
    <cellStyle name="MSSStyle144" xfId="179"/>
    <cellStyle name="MSSStyle145" xfId="180"/>
    <cellStyle name="MSSStyle146" xfId="181"/>
    <cellStyle name="MSSStyle147" xfId="182"/>
    <cellStyle name="MSSStyle148" xfId="183"/>
    <cellStyle name="MSSStyle149" xfId="184"/>
    <cellStyle name="MSSStyle150" xfId="185"/>
    <cellStyle name="MSSStyle151" xfId="186"/>
    <cellStyle name="MSSStyle152" xfId="187"/>
    <cellStyle name="MSSStyle153" xfId="188"/>
    <cellStyle name="MSSStyle154" xfId="189"/>
    <cellStyle name="MSSStyle155" xfId="190"/>
    <cellStyle name="MSSStyle156" xfId="191"/>
    <cellStyle name="MSSStyle157" xfId="192"/>
    <cellStyle name="MSSStyle158" xfId="193"/>
    <cellStyle name="MSSStyle159" xfId="194"/>
    <cellStyle name="MSSStyle160" xfId="195"/>
    <cellStyle name="MSSStyle161" xfId="196"/>
    <cellStyle name="MSSStyle162" xfId="197"/>
    <cellStyle name="MSSStyle163" xfId="198"/>
    <cellStyle name="MSSStyle164" xfId="199"/>
    <cellStyle name="MSSStyle165" xfId="200"/>
    <cellStyle name="MSSStyle166" xfId="201"/>
    <cellStyle name="MSSStyle167" xfId="202"/>
    <cellStyle name="MSSStyle168" xfId="203"/>
    <cellStyle name="MSSStyle169" xfId="204"/>
    <cellStyle name="MSSStyle170" xfId="205"/>
    <cellStyle name="MSSStyle171" xfId="206"/>
    <cellStyle name="MSSStyle172" xfId="207"/>
    <cellStyle name="MSSStyle173" xfId="208"/>
    <cellStyle name="MSSStyle174" xfId="209"/>
    <cellStyle name="MSSStyle175" xfId="210"/>
    <cellStyle name="MSSStyle176" xfId="211"/>
    <cellStyle name="MSSStyle177" xfId="212"/>
    <cellStyle name="MSSStyle178" xfId="213"/>
    <cellStyle name="MSSStyle179" xfId="214"/>
    <cellStyle name="MSSStyle180" xfId="215"/>
    <cellStyle name="MSSStyle181" xfId="216"/>
    <cellStyle name="MSSStyle182" xfId="217"/>
    <cellStyle name="MSSStyle183" xfId="218"/>
    <cellStyle name="MSSStyle184" xfId="219"/>
    <cellStyle name="MSSStyle185" xfId="220"/>
    <cellStyle name="MSSStyle186" xfId="221"/>
    <cellStyle name="MSSStyle187" xfId="222"/>
    <cellStyle name="MSSStyle188" xfId="223"/>
    <cellStyle name="MSSStyle189" xfId="224"/>
    <cellStyle name="MSSStyle190" xfId="225"/>
    <cellStyle name="MSSStyle191" xfId="226"/>
    <cellStyle name="MSSStyle192" xfId="227"/>
    <cellStyle name="MSSStyle193" xfId="228"/>
    <cellStyle name="MSSStyle194" xfId="229"/>
    <cellStyle name="MSSStyle195" xfId="230"/>
    <cellStyle name="MSSStyle196" xfId="231"/>
    <cellStyle name="MSSStyle197" xfId="232"/>
    <cellStyle name="MSSStyle198" xfId="233"/>
    <cellStyle name="MSSStyle199" xfId="234"/>
    <cellStyle name="MSSStyle200" xfId="235"/>
    <cellStyle name="MSSStyle201" xfId="236"/>
    <cellStyle name="MSSStyle202" xfId="237"/>
    <cellStyle name="MSSStyle203" xfId="238"/>
    <cellStyle name="MSSStyle204" xfId="239"/>
    <cellStyle name="MSSStyle205" xfId="240"/>
    <cellStyle name="MSSStyle206" xfId="241"/>
    <cellStyle name="MSSStyle207" xfId="242"/>
    <cellStyle name="MSSStyle208" xfId="243"/>
    <cellStyle name="MSSStyle209" xfId="244"/>
    <cellStyle name="MSSStyle210" xfId="245"/>
    <cellStyle name="MSSStyle211" xfId="246"/>
    <cellStyle name="MSSStyle212" xfId="247"/>
    <cellStyle name="MSSStyle213" xfId="248"/>
    <cellStyle name="MSSStyle214" xfId="249"/>
    <cellStyle name="MSSStyle215" xfId="250"/>
    <cellStyle name="MSSStyle216" xfId="251"/>
    <cellStyle name="MSSStyle217" xfId="252"/>
    <cellStyle name="MSSStyle218" xfId="253"/>
    <cellStyle name="MSSStyle219" xfId="254"/>
    <cellStyle name="MSSStyle220" xfId="255"/>
    <cellStyle name="MSSStyle221" xfId="256"/>
    <cellStyle name="MSSStyle222" xfId="257"/>
    <cellStyle name="MSSStyle223" xfId="258"/>
    <cellStyle name="MSSStyle224" xfId="259"/>
    <cellStyle name="MSSStyle225" xfId="260"/>
    <cellStyle name="MSSStyle226" xfId="261"/>
    <cellStyle name="MSSStyle227" xfId="262"/>
    <cellStyle name="MSSStyle228" xfId="263"/>
    <cellStyle name="MSSStyle229" xfId="264"/>
    <cellStyle name="MSSStyle230" xfId="265"/>
    <cellStyle name="MSSStyle231" xfId="266"/>
    <cellStyle name="MSSStyle232" xfId="267"/>
    <cellStyle name="MSSStyle233" xfId="268"/>
    <cellStyle name="MSSStyle234" xfId="269"/>
    <cellStyle name="MSSStyle235" xfId="270"/>
    <cellStyle name="MSSStyle236" xfId="271"/>
    <cellStyle name="MSSStyle237" xfId="272"/>
    <cellStyle name="MSSStyle238" xfId="273"/>
    <cellStyle name="MSSStyle239" xfId="274"/>
    <cellStyle name="MSSStyle240" xfId="275"/>
    <cellStyle name="MSSStyle241" xfId="276"/>
    <cellStyle name="MSSStyle242" xfId="277"/>
    <cellStyle name="MSSStyle243" xfId="278"/>
    <cellStyle name="MSSStyle244" xfId="279"/>
    <cellStyle name="MSSStyle245" xfId="280"/>
    <cellStyle name="MSSStyle246" xfId="281"/>
    <cellStyle name="MSSStyle247" xfId="282"/>
    <cellStyle name="MSSStyle248" xfId="283"/>
    <cellStyle name="MSSStyle249" xfId="284"/>
    <cellStyle name="MSSStyle250" xfId="285"/>
    <cellStyle name="MSSStyle251" xfId="286"/>
    <cellStyle name="MSSStyle252" xfId="287"/>
    <cellStyle name="MSSStyle253" xfId="288"/>
    <cellStyle name="MSSStyle254" xfId="289"/>
    <cellStyle name="MSSStyle255" xfId="290"/>
    <cellStyle name="MSSStyle256" xfId="291"/>
    <cellStyle name="MSSStyle257" xfId="292"/>
    <cellStyle name="Neutral" xfId="293" builtinId="28" customBuiltin="1"/>
    <cellStyle name="Normal" xfId="0" builtinId="0"/>
    <cellStyle name="Normal 2" xfId="300"/>
    <cellStyle name="Note" xfId="294" builtinId="10" customBuiltin="1"/>
    <cellStyle name="Output" xfId="295" builtinId="21" customBuiltin="1"/>
    <cellStyle name="Title" xfId="296" builtinId="15" customBuiltin="1"/>
    <cellStyle name="Total" xfId="297" builtinId="25" customBuiltin="1"/>
    <cellStyle name="Warning Text" xfId="298"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E0EC"/>
      <rgbColor rgb="00E0FFFF"/>
      <rgbColor rgb="00F0F0F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US"/>
              <a:t>Operation Summary</a:t>
            </a:r>
          </a:p>
        </c:rich>
      </c:tx>
      <c:layout>
        <c:manualLayout>
          <c:xMode val="edge"/>
          <c:yMode val="edge"/>
          <c:x val="0.4155097289018746"/>
          <c:y val="6.2500181652778708E-2"/>
        </c:manualLayout>
      </c:layout>
      <c:overlay val="0"/>
      <c:spPr>
        <a:noFill/>
        <a:ln w="25400">
          <a:noFill/>
        </a:ln>
      </c:spPr>
    </c:title>
    <c:autoTitleDeleted val="0"/>
    <c:plotArea>
      <c:layout>
        <c:manualLayout>
          <c:layoutTarget val="inner"/>
          <c:xMode val="edge"/>
          <c:yMode val="edge"/>
          <c:x val="0.1377316371568888"/>
          <c:y val="0.15178615544246257"/>
          <c:w val="0.84375095367539432"/>
          <c:h val="0.59226362613823635"/>
        </c:manualLayout>
      </c:layout>
      <c:lineChart>
        <c:grouping val="standard"/>
        <c:varyColors val="0"/>
        <c:ser>
          <c:idx val="4"/>
          <c:order val="0"/>
          <c:tx>
            <c:v>Profit</c:v>
          </c:tx>
          <c:spPr>
            <a:ln w="12700">
              <a:solidFill>
                <a:srgbClr val="000000"/>
              </a:solidFill>
              <a:prstDash val="solid"/>
            </a:ln>
          </c:spPr>
          <c:marker>
            <c:symbol val="star"/>
            <c:size val="5"/>
            <c:spPr>
              <a:solidFill>
                <a:srgbClr val="4BACC6"/>
              </a:solidFill>
              <a:ln>
                <a:solidFill>
                  <a:srgbClr val="33CCCC"/>
                </a:solidFill>
                <a:prstDash val="solid"/>
              </a:ln>
            </c:spPr>
          </c:marker>
          <c:val>
            <c:numRef>
              <c:f>[0]!Net_Income_plt_Subprojects</c:f>
              <c:numCache>
                <c:formatCode>"$"#,##0_);[Red]\("$"#,##0\)</c:formatCode>
                <c:ptCount val="8"/>
                <c:pt idx="0">
                  <c:v>0</c:v>
                </c:pt>
                <c:pt idx="1">
                  <c:v>0</c:v>
                </c:pt>
                <c:pt idx="2">
                  <c:v>0</c:v>
                </c:pt>
                <c:pt idx="3">
                  <c:v>0</c:v>
                </c:pt>
                <c:pt idx="4">
                  <c:v>0</c:v>
                </c:pt>
                <c:pt idx="5">
                  <c:v>0</c:v>
                </c:pt>
                <c:pt idx="6">
                  <c:v>0</c:v>
                </c:pt>
                <c:pt idx="7">
                  <c:v>0</c:v>
                </c:pt>
              </c:numCache>
            </c:numRef>
          </c:val>
          <c:smooth val="0"/>
        </c:ser>
        <c:ser>
          <c:idx val="1"/>
          <c:order val="1"/>
          <c:tx>
            <c:v>EBITDA</c:v>
          </c:tx>
          <c:spPr>
            <a:ln w="12700">
              <a:solidFill>
                <a:srgbClr val="000000"/>
              </a:solidFill>
              <a:prstDash val="solid"/>
            </a:ln>
          </c:spPr>
          <c:marker>
            <c:symbol val="square"/>
            <c:size val="5"/>
            <c:spPr>
              <a:solidFill>
                <a:srgbClr val="C0504D"/>
              </a:solidFill>
              <a:ln>
                <a:solidFill>
                  <a:srgbClr val="993366"/>
                </a:solidFill>
                <a:prstDash val="solid"/>
              </a:ln>
            </c:spPr>
          </c:marker>
          <c:cat>
            <c:strRef>
              <c:f>[0]!Revenue_Time_Period</c:f>
              <c:strCache>
                <c:ptCount val="8"/>
                <c:pt idx="0">
                  <c:v>Q1 2011</c:v>
                </c:pt>
                <c:pt idx="1">
                  <c:v>Q2 2011</c:v>
                </c:pt>
                <c:pt idx="2">
                  <c:v>Q3 2011</c:v>
                </c:pt>
                <c:pt idx="3">
                  <c:v>Q4 2011</c:v>
                </c:pt>
                <c:pt idx="4">
                  <c:v>Q1 2012</c:v>
                </c:pt>
                <c:pt idx="5">
                  <c:v>Q2 2012</c:v>
                </c:pt>
                <c:pt idx="6">
                  <c:v>Q3 2012</c:v>
                </c:pt>
                <c:pt idx="7">
                  <c:v>Q4 2012</c:v>
                </c:pt>
              </c:strCache>
            </c:strRef>
          </c:cat>
          <c:val>
            <c:numRef>
              <c:f>[0]!EBITDA_plt_Subprojects</c:f>
              <c:numCache>
                <c:formatCode>"$"#,##0_);[Red]\("$"#,##0\)</c:formatCode>
                <c:ptCount val="8"/>
                <c:pt idx="0">
                  <c:v>0</c:v>
                </c:pt>
                <c:pt idx="1">
                  <c:v>0</c:v>
                </c:pt>
                <c:pt idx="2">
                  <c:v>0</c:v>
                </c:pt>
                <c:pt idx="3">
                  <c:v>0</c:v>
                </c:pt>
                <c:pt idx="4">
                  <c:v>0</c:v>
                </c:pt>
                <c:pt idx="5">
                  <c:v>0</c:v>
                </c:pt>
                <c:pt idx="6">
                  <c:v>0</c:v>
                </c:pt>
                <c:pt idx="7">
                  <c:v>0</c:v>
                </c:pt>
              </c:numCache>
            </c:numRef>
          </c:val>
          <c:smooth val="0"/>
        </c:ser>
        <c:ser>
          <c:idx val="0"/>
          <c:order val="2"/>
          <c:tx>
            <c:v>Revenue</c:v>
          </c:tx>
          <c:spPr>
            <a:ln w="12700">
              <a:solidFill>
                <a:srgbClr val="000000"/>
              </a:solidFill>
              <a:prstDash val="solid"/>
            </a:ln>
          </c:spPr>
          <c:marker>
            <c:symbol val="diamond"/>
            <c:size val="5"/>
            <c:spPr>
              <a:solidFill>
                <a:srgbClr val="4F81BD"/>
              </a:solidFill>
              <a:ln>
                <a:solidFill>
                  <a:srgbClr val="666699"/>
                </a:solidFill>
                <a:prstDash val="solid"/>
              </a:ln>
            </c:spPr>
          </c:marker>
          <c:cat>
            <c:strRef>
              <c:f>[0]!Revenue_Time_Period</c:f>
              <c:strCache>
                <c:ptCount val="8"/>
                <c:pt idx="0">
                  <c:v>Q1 2011</c:v>
                </c:pt>
                <c:pt idx="1">
                  <c:v>Q2 2011</c:v>
                </c:pt>
                <c:pt idx="2">
                  <c:v>Q3 2011</c:v>
                </c:pt>
                <c:pt idx="3">
                  <c:v>Q4 2011</c:v>
                </c:pt>
                <c:pt idx="4">
                  <c:v>Q1 2012</c:v>
                </c:pt>
                <c:pt idx="5">
                  <c:v>Q2 2012</c:v>
                </c:pt>
                <c:pt idx="6">
                  <c:v>Q3 2012</c:v>
                </c:pt>
                <c:pt idx="7">
                  <c:v>Q4 2012</c:v>
                </c:pt>
              </c:strCache>
            </c:strRef>
          </c:cat>
          <c:val>
            <c:numRef>
              <c:f>[0]!Revenue_Subprojects</c:f>
              <c:numCache>
                <c:formatCode>"$"#,##0.00_);[Red]\("$"#,##0.00\)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534633328"/>
        <c:axId val="534630584"/>
      </c:lineChart>
      <c:catAx>
        <c:axId val="534633328"/>
        <c:scaling>
          <c:orientation val="minMax"/>
        </c:scaling>
        <c:delete val="0"/>
        <c:axPos val="b"/>
        <c:numFmt formatCode="General" sourceLinked="1"/>
        <c:majorTickMark val="out"/>
        <c:minorTickMark val="none"/>
        <c:tickLblPos val="low"/>
        <c:spPr>
          <a:ln w="3175">
            <a:solidFill>
              <a:srgbClr val="808080"/>
            </a:solidFill>
            <a:prstDash val="solid"/>
          </a:ln>
        </c:spPr>
        <c:txPr>
          <a:bodyPr rot="-2700000" vert="horz"/>
          <a:lstStyle/>
          <a:p>
            <a:pPr>
              <a:defRPr sz="700" b="0" i="0" u="none" strike="noStrike" baseline="0">
                <a:solidFill>
                  <a:srgbClr val="000000"/>
                </a:solidFill>
                <a:latin typeface="Calibri"/>
                <a:ea typeface="Calibri"/>
                <a:cs typeface="Calibri"/>
              </a:defRPr>
            </a:pPr>
            <a:endParaRPr lang="tr-TR"/>
          </a:p>
        </c:txPr>
        <c:crossAx val="534630584"/>
        <c:crosses val="autoZero"/>
        <c:auto val="0"/>
        <c:lblAlgn val="ctr"/>
        <c:lblOffset val="100"/>
        <c:tickLblSkip val="1"/>
        <c:tickMarkSkip val="1"/>
        <c:noMultiLvlLbl val="0"/>
      </c:catAx>
      <c:valAx>
        <c:axId val="534630584"/>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34633328"/>
        <c:crossesAt val="1"/>
        <c:crossBetween val="between"/>
      </c:valAx>
      <c:spPr>
        <a:solidFill>
          <a:srgbClr val="FFFFFF"/>
        </a:solidFill>
        <a:ln w="25400">
          <a:noFill/>
        </a:ln>
      </c:spPr>
    </c:plotArea>
    <c:legend>
      <c:legendPos val="r"/>
      <c:layout>
        <c:manualLayout>
          <c:xMode val="edge"/>
          <c:yMode val="edge"/>
          <c:x val="0.3576392931216692"/>
          <c:y val="0.90774073352845264"/>
          <c:w val="0.28240772660740221"/>
          <c:h val="6.5476380779101506E-2"/>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tr-TR"/>
        </a:p>
      </c:txPr>
    </c:legend>
    <c:plotVisOnly val="1"/>
    <c:dispBlanksAs val="zero"/>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75000000000000022" l="0.70000000000000018" r="0.70000000000000018" t="0.75000000000000022" header="0.3000000000000001" footer="0.3000000000000001"/>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US"/>
              <a:t>Valuation</a:t>
            </a:r>
          </a:p>
        </c:rich>
      </c:tx>
      <c:layout>
        <c:manualLayout>
          <c:xMode val="edge"/>
          <c:yMode val="edge"/>
          <c:x val="0.42708381605791562"/>
          <c:y val="2.3809593010582365E-2"/>
        </c:manualLayout>
      </c:layout>
      <c:overlay val="0"/>
      <c:spPr>
        <a:noFill/>
        <a:ln w="25400">
          <a:noFill/>
        </a:ln>
      </c:spPr>
    </c:title>
    <c:autoTitleDeleted val="0"/>
    <c:plotArea>
      <c:layout>
        <c:manualLayout>
          <c:layoutTarget val="inner"/>
          <c:xMode val="edge"/>
          <c:yMode val="edge"/>
          <c:x val="0.11689828027601486"/>
          <c:y val="0.12202416417923462"/>
          <c:w val="0.85301022340022714"/>
          <c:h val="0.52976344448545765"/>
        </c:manualLayout>
      </c:layout>
      <c:lineChart>
        <c:grouping val="standard"/>
        <c:varyColors val="0"/>
        <c:ser>
          <c:idx val="0"/>
          <c:order val="0"/>
          <c:tx>
            <c:v>Valuation</c:v>
          </c:tx>
          <c:spPr>
            <a:ln w="25400">
              <a:solidFill>
                <a:srgbClr val="0000FF"/>
              </a:solidFill>
              <a:prstDash val="lgDashDot"/>
            </a:ln>
          </c:spPr>
          <c:marker>
            <c:symbol val="diamond"/>
            <c:size val="7"/>
            <c:spPr>
              <a:solidFill>
                <a:srgbClr val="4F81BD"/>
              </a:solidFill>
              <a:ln>
                <a:solidFill>
                  <a:srgbClr val="666699"/>
                </a:solidFill>
                <a:prstDash val="solid"/>
              </a:ln>
            </c:spPr>
          </c:marker>
          <c:cat>
            <c:strRef>
              <c:f>[0]!DCF_Cum_plt_Time_Period</c:f>
              <c:strCache>
                <c:ptCount val="9"/>
                <c:pt idx="0">
                  <c:v>Q4 2010</c:v>
                </c:pt>
                <c:pt idx="1">
                  <c:v>Q1 2011</c:v>
                </c:pt>
                <c:pt idx="2">
                  <c:v>Q2 2011</c:v>
                </c:pt>
                <c:pt idx="3">
                  <c:v>Q3 2011</c:v>
                </c:pt>
                <c:pt idx="4">
                  <c:v>Q4 2011</c:v>
                </c:pt>
                <c:pt idx="5">
                  <c:v>Q1 2012</c:v>
                </c:pt>
                <c:pt idx="6">
                  <c:v>Q2 2012</c:v>
                </c:pt>
                <c:pt idx="7">
                  <c:v>Q3 2012</c:v>
                </c:pt>
                <c:pt idx="8">
                  <c:v>Q4 2012</c:v>
                </c:pt>
              </c:strCache>
            </c:strRef>
          </c:cat>
          <c:val>
            <c:numRef>
              <c:f>[0]!Valuation_plt_Subprojects</c:f>
              <c:numCache>
                <c:formatCode>"$"#,##0_);[Red]\("$"#,##0\)</c:formatCode>
                <c:ptCount val="9"/>
                <c:pt idx="0">
                  <c:v>0</c:v>
                </c:pt>
                <c:pt idx="1">
                  <c:v>0</c:v>
                </c:pt>
                <c:pt idx="2">
                  <c:v>0</c:v>
                </c:pt>
                <c:pt idx="3">
                  <c:v>0</c:v>
                </c:pt>
                <c:pt idx="4">
                  <c:v>0</c:v>
                </c:pt>
                <c:pt idx="5">
                  <c:v>0</c:v>
                </c:pt>
                <c:pt idx="6">
                  <c:v>0</c:v>
                </c:pt>
                <c:pt idx="7">
                  <c:v>0</c:v>
                </c:pt>
                <c:pt idx="8">
                  <c:v>0</c:v>
                </c:pt>
              </c:numCache>
            </c:numRef>
          </c:val>
          <c:smooth val="0"/>
        </c:ser>
        <c:ser>
          <c:idx val="1"/>
          <c:order val="1"/>
          <c:tx>
            <c:v>Cum Discounted Cash Flow</c:v>
          </c:tx>
          <c:spPr>
            <a:ln w="25400">
              <a:solidFill>
                <a:srgbClr val="FF9900"/>
              </a:solidFill>
              <a:prstDash val="lgDash"/>
            </a:ln>
          </c:spPr>
          <c:marker>
            <c:symbol val="none"/>
          </c:marker>
          <c:cat>
            <c:strRef>
              <c:f>[0]!DCF_Cum_plt_Time_Period</c:f>
              <c:strCache>
                <c:ptCount val="9"/>
                <c:pt idx="0">
                  <c:v>Q4 2010</c:v>
                </c:pt>
                <c:pt idx="1">
                  <c:v>Q1 2011</c:v>
                </c:pt>
                <c:pt idx="2">
                  <c:v>Q2 2011</c:v>
                </c:pt>
                <c:pt idx="3">
                  <c:v>Q3 2011</c:v>
                </c:pt>
                <c:pt idx="4">
                  <c:v>Q4 2011</c:v>
                </c:pt>
                <c:pt idx="5">
                  <c:v>Q1 2012</c:v>
                </c:pt>
                <c:pt idx="6">
                  <c:v>Q2 2012</c:v>
                </c:pt>
                <c:pt idx="7">
                  <c:v>Q3 2012</c:v>
                </c:pt>
                <c:pt idx="8">
                  <c:v>Q4 2012</c:v>
                </c:pt>
              </c:strCache>
            </c:strRef>
          </c:cat>
          <c:val>
            <c:numRef>
              <c:f>[0]!DCF_Cum_plt_Subprojects</c:f>
              <c:numCache>
                <c:formatCode>"$"#,##0_);[Red]\("$"#,##0\)</c:formatCode>
                <c:ptCount val="9"/>
                <c:pt idx="0">
                  <c:v>0</c:v>
                </c:pt>
                <c:pt idx="1">
                  <c:v>0</c:v>
                </c:pt>
                <c:pt idx="2">
                  <c:v>0</c:v>
                </c:pt>
                <c:pt idx="3">
                  <c:v>0</c:v>
                </c:pt>
                <c:pt idx="4">
                  <c:v>0</c:v>
                </c:pt>
                <c:pt idx="5">
                  <c:v>0</c:v>
                </c:pt>
                <c:pt idx="6">
                  <c:v>0</c:v>
                </c:pt>
                <c:pt idx="7">
                  <c:v>0</c:v>
                </c:pt>
                <c:pt idx="8">
                  <c:v>0</c:v>
                </c:pt>
              </c:numCache>
            </c:numRef>
          </c:val>
          <c:smooth val="0"/>
        </c:ser>
        <c:ser>
          <c:idx val="2"/>
          <c:order val="2"/>
          <c:tx>
            <c:v>Book Value</c:v>
          </c:tx>
          <c:spPr>
            <a:ln w="25400">
              <a:solidFill>
                <a:srgbClr val="339966"/>
              </a:solidFill>
              <a:prstDash val="solid"/>
            </a:ln>
          </c:spPr>
          <c:marker>
            <c:symbol val="triangle"/>
            <c:size val="7"/>
            <c:spPr>
              <a:solidFill>
                <a:srgbClr val="33CC33"/>
              </a:solidFill>
              <a:ln>
                <a:solidFill>
                  <a:srgbClr val="99CC00"/>
                </a:solidFill>
                <a:prstDash val="solid"/>
              </a:ln>
            </c:spPr>
          </c:marker>
          <c:cat>
            <c:strRef>
              <c:f>[0]!DCF_Cum_plt_Time_Period</c:f>
              <c:strCache>
                <c:ptCount val="9"/>
                <c:pt idx="0">
                  <c:v>Q4 2010</c:v>
                </c:pt>
                <c:pt idx="1">
                  <c:v>Q1 2011</c:v>
                </c:pt>
                <c:pt idx="2">
                  <c:v>Q2 2011</c:v>
                </c:pt>
                <c:pt idx="3">
                  <c:v>Q3 2011</c:v>
                </c:pt>
                <c:pt idx="4">
                  <c:v>Q4 2011</c:v>
                </c:pt>
                <c:pt idx="5">
                  <c:v>Q1 2012</c:v>
                </c:pt>
                <c:pt idx="6">
                  <c:v>Q2 2012</c:v>
                </c:pt>
                <c:pt idx="7">
                  <c:v>Q3 2012</c:v>
                </c:pt>
                <c:pt idx="8">
                  <c:v>Q4 2012</c:v>
                </c:pt>
              </c:strCache>
            </c:strRef>
          </c:cat>
          <c:val>
            <c:numRef>
              <c:f>[0]!Book_Value_End_plt_Subprojects</c:f>
              <c:numCache>
                <c:formatCode>"$"#,##0_);[Red]\("$"#,##0\)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534631760"/>
        <c:axId val="407715960"/>
      </c:lineChart>
      <c:catAx>
        <c:axId val="534631760"/>
        <c:scaling>
          <c:orientation val="minMax"/>
        </c:scaling>
        <c:delete val="0"/>
        <c:axPos val="b"/>
        <c:numFmt formatCode="General" sourceLinked="1"/>
        <c:majorTickMark val="out"/>
        <c:minorTickMark val="none"/>
        <c:tickLblPos val="low"/>
        <c:spPr>
          <a:ln w="3175">
            <a:solidFill>
              <a:srgbClr val="808080"/>
            </a:solidFill>
            <a:prstDash val="solid"/>
          </a:ln>
        </c:spPr>
        <c:txPr>
          <a:bodyPr rot="-2700000" vert="horz"/>
          <a:lstStyle/>
          <a:p>
            <a:pPr>
              <a:defRPr sz="700" b="0" i="0" u="none" strike="noStrike" baseline="0">
                <a:solidFill>
                  <a:srgbClr val="000000"/>
                </a:solidFill>
                <a:latin typeface="Calibri"/>
                <a:ea typeface="Calibri"/>
                <a:cs typeface="Calibri"/>
              </a:defRPr>
            </a:pPr>
            <a:endParaRPr lang="tr-TR"/>
          </a:p>
        </c:txPr>
        <c:crossAx val="407715960"/>
        <c:crosses val="autoZero"/>
        <c:auto val="0"/>
        <c:lblAlgn val="ctr"/>
        <c:lblOffset val="100"/>
        <c:tickLblSkip val="1"/>
        <c:tickMarkSkip val="1"/>
        <c:noMultiLvlLbl val="0"/>
      </c:catAx>
      <c:valAx>
        <c:axId val="407715960"/>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34631760"/>
        <c:crossesAt val="1"/>
        <c:crossBetween val="between"/>
      </c:valAx>
      <c:spPr>
        <a:solidFill>
          <a:srgbClr val="FFFFFF"/>
        </a:solidFill>
        <a:ln w="25400">
          <a:noFill/>
        </a:ln>
      </c:spPr>
    </c:plotArea>
    <c:legend>
      <c:legendPos val="r"/>
      <c:layout>
        <c:manualLayout>
          <c:xMode val="edge"/>
          <c:yMode val="edge"/>
          <c:x val="0.20601875137753112"/>
          <c:y val="0.86607394575993346"/>
          <c:w val="0.59143585367369889"/>
          <c:h val="7.7381177284392685E-2"/>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75000000000000022" l="0.70000000000000018" r="0.70000000000000018" t="0.75000000000000022" header="0.3000000000000001" footer="0.3000000000000001"/>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US"/>
              <a:t>Cash Flows</a:t>
            </a:r>
          </a:p>
        </c:rich>
      </c:tx>
      <c:layout>
        <c:manualLayout>
          <c:xMode val="edge"/>
          <c:yMode val="edge"/>
          <c:x val="0.44675976422318547"/>
          <c:y val="4.4642986894841932E-2"/>
        </c:manualLayout>
      </c:layout>
      <c:overlay val="0"/>
      <c:spPr>
        <a:noFill/>
        <a:ln w="25400">
          <a:noFill/>
        </a:ln>
      </c:spPr>
    </c:title>
    <c:autoTitleDeleted val="0"/>
    <c:plotArea>
      <c:layout>
        <c:manualLayout>
          <c:layoutTarget val="inner"/>
          <c:xMode val="edge"/>
          <c:yMode val="edge"/>
          <c:x val="0.10648160183557788"/>
          <c:y val="0.15773855369510817"/>
          <c:w val="0.86921394541868469"/>
          <c:h val="0.50297765234855241"/>
        </c:manualLayout>
      </c:layout>
      <c:lineChart>
        <c:grouping val="standard"/>
        <c:varyColors val="0"/>
        <c:ser>
          <c:idx val="2"/>
          <c:order val="0"/>
          <c:tx>
            <c:v>Cash Flow</c:v>
          </c:tx>
          <c:spPr>
            <a:ln w="25400">
              <a:solidFill>
                <a:srgbClr val="339966"/>
              </a:solidFill>
              <a:prstDash val="solid"/>
            </a:ln>
          </c:spPr>
          <c:marker>
            <c:symbol val="none"/>
          </c:marker>
          <c:cat>
            <c:strRef>
              <c:f>[0]!Cash_Flow_plt_Time_Period</c:f>
              <c:strCache>
                <c:ptCount val="9"/>
                <c:pt idx="0">
                  <c:v>Q4 2010</c:v>
                </c:pt>
                <c:pt idx="1">
                  <c:v>Q1 2011</c:v>
                </c:pt>
                <c:pt idx="2">
                  <c:v>Q2 2011</c:v>
                </c:pt>
                <c:pt idx="3">
                  <c:v>Q3 2011</c:v>
                </c:pt>
                <c:pt idx="4">
                  <c:v>Q4 2011</c:v>
                </c:pt>
                <c:pt idx="5">
                  <c:v>Q1 2012</c:v>
                </c:pt>
                <c:pt idx="6">
                  <c:v>Q2 2012</c:v>
                </c:pt>
                <c:pt idx="7">
                  <c:v>Q3 2012</c:v>
                </c:pt>
                <c:pt idx="8">
                  <c:v>Q4 2012</c:v>
                </c:pt>
              </c:strCache>
            </c:strRef>
          </c:cat>
          <c:val>
            <c:numRef>
              <c:f>[0]!Cash_Flow_plt_Subprojects</c:f>
              <c:numCache>
                <c:formatCode>"$"#,##0_);[Red]\("$"#,##0\)</c:formatCode>
                <c:ptCount val="9"/>
                <c:pt idx="0">
                  <c:v>0</c:v>
                </c:pt>
                <c:pt idx="1">
                  <c:v>0</c:v>
                </c:pt>
                <c:pt idx="2">
                  <c:v>0</c:v>
                </c:pt>
                <c:pt idx="3">
                  <c:v>0</c:v>
                </c:pt>
                <c:pt idx="4">
                  <c:v>0</c:v>
                </c:pt>
                <c:pt idx="5">
                  <c:v>0</c:v>
                </c:pt>
                <c:pt idx="6">
                  <c:v>0</c:v>
                </c:pt>
                <c:pt idx="7">
                  <c:v>0</c:v>
                </c:pt>
                <c:pt idx="8">
                  <c:v>0</c:v>
                </c:pt>
              </c:numCache>
            </c:numRef>
          </c:val>
          <c:smooth val="0"/>
        </c:ser>
        <c:ser>
          <c:idx val="3"/>
          <c:order val="1"/>
          <c:tx>
            <c:v>Discounted Cash Flow</c:v>
          </c:tx>
          <c:spPr>
            <a:ln w="25400">
              <a:solidFill>
                <a:srgbClr val="FF9900"/>
              </a:solidFill>
              <a:prstDash val="lgDash"/>
            </a:ln>
          </c:spPr>
          <c:marker>
            <c:symbol val="none"/>
          </c:marker>
          <c:cat>
            <c:strRef>
              <c:f>[0]!Cash_Flow_plt_Time_Period</c:f>
              <c:strCache>
                <c:ptCount val="9"/>
                <c:pt idx="0">
                  <c:v>Q4 2010</c:v>
                </c:pt>
                <c:pt idx="1">
                  <c:v>Q1 2011</c:v>
                </c:pt>
                <c:pt idx="2">
                  <c:v>Q2 2011</c:v>
                </c:pt>
                <c:pt idx="3">
                  <c:v>Q3 2011</c:v>
                </c:pt>
                <c:pt idx="4">
                  <c:v>Q4 2011</c:v>
                </c:pt>
                <c:pt idx="5">
                  <c:v>Q1 2012</c:v>
                </c:pt>
                <c:pt idx="6">
                  <c:v>Q2 2012</c:v>
                </c:pt>
                <c:pt idx="7">
                  <c:v>Q3 2012</c:v>
                </c:pt>
                <c:pt idx="8">
                  <c:v>Q4 2012</c:v>
                </c:pt>
              </c:strCache>
            </c:strRef>
          </c:cat>
          <c:val>
            <c:numRef>
              <c:f>[0]!DCF_plt_Subprojects</c:f>
              <c:numCache>
                <c:formatCode>"$"#,##0_);[Red]\("$"#,##0\)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smooth val="0"/>
        <c:axId val="407717136"/>
        <c:axId val="407719488"/>
      </c:lineChart>
      <c:catAx>
        <c:axId val="407717136"/>
        <c:scaling>
          <c:orientation val="minMax"/>
        </c:scaling>
        <c:delete val="0"/>
        <c:axPos val="b"/>
        <c:numFmt formatCode="General" sourceLinked="1"/>
        <c:majorTickMark val="out"/>
        <c:minorTickMark val="none"/>
        <c:tickLblPos val="low"/>
        <c:spPr>
          <a:ln w="3175">
            <a:solidFill>
              <a:srgbClr val="808080"/>
            </a:solidFill>
            <a:prstDash val="solid"/>
          </a:ln>
        </c:spPr>
        <c:txPr>
          <a:bodyPr rot="-2700000" vert="horz"/>
          <a:lstStyle/>
          <a:p>
            <a:pPr>
              <a:defRPr sz="700" b="0" i="0" u="none" strike="noStrike" baseline="0">
                <a:solidFill>
                  <a:srgbClr val="000000"/>
                </a:solidFill>
                <a:latin typeface="Calibri"/>
                <a:ea typeface="Calibri"/>
                <a:cs typeface="Calibri"/>
              </a:defRPr>
            </a:pPr>
            <a:endParaRPr lang="tr-TR"/>
          </a:p>
        </c:txPr>
        <c:crossAx val="407719488"/>
        <c:crosses val="autoZero"/>
        <c:auto val="0"/>
        <c:lblAlgn val="ctr"/>
        <c:lblOffset val="100"/>
        <c:tickLblSkip val="1"/>
        <c:tickMarkSkip val="1"/>
        <c:noMultiLvlLbl val="0"/>
      </c:catAx>
      <c:valAx>
        <c:axId val="407719488"/>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407717136"/>
        <c:crossesAt val="1"/>
        <c:crossBetween val="between"/>
      </c:valAx>
      <c:spPr>
        <a:solidFill>
          <a:srgbClr val="FFFFFF"/>
        </a:solidFill>
        <a:ln w="25400">
          <a:noFill/>
        </a:ln>
      </c:spPr>
    </c:plotArea>
    <c:legend>
      <c:legendPos val="r"/>
      <c:layout>
        <c:manualLayout>
          <c:xMode val="edge"/>
          <c:yMode val="edge"/>
          <c:x val="0.26041696101092415"/>
          <c:y val="0.87202634401257906"/>
          <c:w val="0.48611166055372512"/>
          <c:h val="7.1428779031747089E-2"/>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5" l="0.25" r="0.25" t="0.5" header="0.25" footer="0.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4381500</xdr:colOff>
      <xdr:row>0</xdr:row>
      <xdr:rowOff>28575</xdr:rowOff>
    </xdr:from>
    <xdr:to>
      <xdr:col>0</xdr:col>
      <xdr:colOff>6543675</xdr:colOff>
      <xdr:row>1</xdr:row>
      <xdr:rowOff>85725</xdr:rowOff>
    </xdr:to>
    <xdr:pic>
      <xdr:nvPicPr>
        <xdr:cNvPr id="2" name="Picture 3" descr="Logo_R_Wide302x30_081224.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0" y="28575"/>
          <a:ext cx="21621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1276350</xdr:colOff>
      <xdr:row>49</xdr:row>
      <xdr:rowOff>9525</xdr:rowOff>
    </xdr:from>
    <xdr:to>
      <xdr:col>0</xdr:col>
      <xdr:colOff>5295900</xdr:colOff>
      <xdr:row>49</xdr:row>
      <xdr:rowOff>9525</xdr:rowOff>
    </xdr:to>
    <xdr:pic>
      <xdr:nvPicPr>
        <xdr:cNvPr id="3" name="Picture 2" descr="workflo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9391650"/>
          <a:ext cx="4019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1981200</xdr:colOff>
      <xdr:row>49</xdr:row>
      <xdr:rowOff>9525</xdr:rowOff>
    </xdr:from>
    <xdr:to>
      <xdr:col>0</xdr:col>
      <xdr:colOff>5191125</xdr:colOff>
      <xdr:row>49</xdr:row>
      <xdr:rowOff>9525</xdr:rowOff>
    </xdr:to>
    <xdr:pic>
      <xdr:nvPicPr>
        <xdr:cNvPr id="4" name="Picture 2" descr="workflo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0" y="9391650"/>
          <a:ext cx="3209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1781175</xdr:colOff>
      <xdr:row>45</xdr:row>
      <xdr:rowOff>85725</xdr:rowOff>
    </xdr:from>
    <xdr:to>
      <xdr:col>0</xdr:col>
      <xdr:colOff>4991100</xdr:colOff>
      <xdr:row>45</xdr:row>
      <xdr:rowOff>1552575</xdr:rowOff>
    </xdr:to>
    <xdr:pic>
      <xdr:nvPicPr>
        <xdr:cNvPr id="5" name="Picture 2" descr="workflo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1175" y="5591175"/>
          <a:ext cx="32099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43</xdr:row>
      <xdr:rowOff>38100</xdr:rowOff>
    </xdr:from>
    <xdr:to>
      <xdr:col>13</xdr:col>
      <xdr:colOff>323850</xdr:colOff>
      <xdr:row>63</xdr:row>
      <xdr:rowOff>0</xdr:rowOff>
    </xdr:to>
    <xdr:graphicFrame macro="">
      <xdr:nvGraphicFramePr>
        <xdr:cNvPr id="53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13</xdr:col>
      <xdr:colOff>304800</xdr:colOff>
      <xdr:row>20</xdr:row>
      <xdr:rowOff>123825</xdr:rowOff>
    </xdr:to>
    <xdr:graphicFrame macro="">
      <xdr:nvGraphicFramePr>
        <xdr:cNvPr id="53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9525</xdr:rowOff>
    </xdr:from>
    <xdr:to>
      <xdr:col>13</xdr:col>
      <xdr:colOff>304800</xdr:colOff>
      <xdr:row>41</xdr:row>
      <xdr:rowOff>133350</xdr:rowOff>
    </xdr:to>
    <xdr:graphicFrame macro="">
      <xdr:nvGraphicFramePr>
        <xdr:cNvPr id="53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emplates.modelsheetsoft.com/browser/browse.aspx?s=investproject.xls" TargetMode="External"/><Relationship Id="rId7" Type="http://schemas.openxmlformats.org/officeDocument/2006/relationships/hyperlink" Target="mailto:info@modelsheetsoft.com." TargetMode="External"/><Relationship Id="rId2" Type="http://schemas.openxmlformats.org/officeDocument/2006/relationships/hyperlink" Target="mailto:info@modelsheetsoft.com" TargetMode="External"/><Relationship Id="rId1" Type="http://schemas.openxmlformats.org/officeDocument/2006/relationships/hyperlink" Target="http://www.modelsheetsoft.com/refer.aspx?s=investproject.xls" TargetMode="External"/><Relationship Id="rId6" Type="http://schemas.openxmlformats.org/officeDocument/2006/relationships/hyperlink" Target="http://www.modelsheetsoft.com/consulting-business-analysis.aspx" TargetMode="External"/><Relationship Id="rId5" Type="http://schemas.openxmlformats.org/officeDocument/2006/relationships/hyperlink" Target="http://templates.modelsheetsoft.com/modelsheettemplates/investment-project-templates.aspx?s=investproject.xls" TargetMode="External"/><Relationship Id="rId4" Type="http://schemas.openxmlformats.org/officeDocument/2006/relationships/hyperlink" Target="http://www.modelsheetsoft.com/consulting-business-analysis.aspx?s=investproject.xl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A108"/>
  <sheetViews>
    <sheetView tabSelected="1" workbookViewId="0">
      <selection activeCell="B1" sqref="B1"/>
    </sheetView>
  </sheetViews>
  <sheetFormatPr defaultRowHeight="12.75" outlineLevelRow="2" x14ac:dyDescent="0.2"/>
  <cols>
    <col min="1" max="1" width="98.7109375" style="250" customWidth="1"/>
    <col min="2" max="16384" width="9.140625" style="246"/>
  </cols>
  <sheetData>
    <row r="2" spans="1:1" ht="15.75" x14ac:dyDescent="0.2">
      <c r="A2" s="245"/>
    </row>
    <row r="3" spans="1:1" ht="18" x14ac:dyDescent="0.2">
      <c r="A3" s="247" t="s">
        <v>1617</v>
      </c>
    </row>
    <row r="5" spans="1:1" ht="15" x14ac:dyDescent="0.2">
      <c r="A5" s="248" t="s">
        <v>1618</v>
      </c>
    </row>
    <row r="6" spans="1:1" x14ac:dyDescent="0.2">
      <c r="A6" s="249"/>
    </row>
    <row r="7" spans="1:1" ht="51" x14ac:dyDescent="0.2">
      <c r="A7" s="250" t="s">
        <v>1619</v>
      </c>
    </row>
    <row r="8" spans="1:1" x14ac:dyDescent="0.2">
      <c r="A8" s="251" t="s">
        <v>1620</v>
      </c>
    </row>
    <row r="9" spans="1:1" x14ac:dyDescent="0.2">
      <c r="A9" s="249"/>
    </row>
    <row r="10" spans="1:1" ht="15" x14ac:dyDescent="0.2">
      <c r="A10" s="252" t="s">
        <v>1621</v>
      </c>
    </row>
    <row r="11" spans="1:1" x14ac:dyDescent="0.2">
      <c r="A11" s="249"/>
    </row>
    <row r="12" spans="1:1" x14ac:dyDescent="0.2">
      <c r="A12" s="253" t="s">
        <v>1622</v>
      </c>
    </row>
    <row r="13" spans="1:1" collapsed="1" x14ac:dyDescent="0.2">
      <c r="A13" s="254" t="s">
        <v>1623</v>
      </c>
    </row>
    <row r="14" spans="1:1" hidden="1" outlineLevel="1" x14ac:dyDescent="0.2">
      <c r="A14" s="254" t="s">
        <v>1624</v>
      </c>
    </row>
    <row r="15" spans="1:1" hidden="1" outlineLevel="2" x14ac:dyDescent="0.2">
      <c r="A15" s="255" t="s">
        <v>1625</v>
      </c>
    </row>
    <row r="16" spans="1:1" hidden="1" outlineLevel="2" x14ac:dyDescent="0.2">
      <c r="A16" s="255" t="s">
        <v>1626</v>
      </c>
    </row>
    <row r="17" spans="1:1" hidden="1" outlineLevel="2" x14ac:dyDescent="0.2">
      <c r="A17" s="255" t="s">
        <v>1627</v>
      </c>
    </row>
    <row r="18" spans="1:1" hidden="1" outlineLevel="2" x14ac:dyDescent="0.2">
      <c r="A18" s="255" t="s">
        <v>1628</v>
      </c>
    </row>
    <row r="19" spans="1:1" ht="25.5" hidden="1" outlineLevel="2" x14ac:dyDescent="0.2">
      <c r="A19" s="255" t="s">
        <v>1629</v>
      </c>
    </row>
    <row r="20" spans="1:1" hidden="1" outlineLevel="2" x14ac:dyDescent="0.2">
      <c r="A20" s="254"/>
    </row>
    <row r="21" spans="1:1" hidden="1" outlineLevel="1" x14ac:dyDescent="0.2">
      <c r="A21" s="254" t="s">
        <v>1630</v>
      </c>
    </row>
    <row r="22" spans="1:1" hidden="1" outlineLevel="2" x14ac:dyDescent="0.2">
      <c r="A22" s="255" t="s">
        <v>1631</v>
      </c>
    </row>
    <row r="23" spans="1:1" hidden="1" outlineLevel="2" x14ac:dyDescent="0.2">
      <c r="A23" s="255" t="s">
        <v>1632</v>
      </c>
    </row>
    <row r="24" spans="1:1" hidden="1" outlineLevel="2" x14ac:dyDescent="0.2">
      <c r="A24" s="255" t="s">
        <v>1633</v>
      </c>
    </row>
    <row r="25" spans="1:1" hidden="1" outlineLevel="2" x14ac:dyDescent="0.2">
      <c r="A25" s="249"/>
    </row>
    <row r="26" spans="1:1" hidden="1" outlineLevel="1" x14ac:dyDescent="0.2">
      <c r="A26" s="254" t="s">
        <v>1634</v>
      </c>
    </row>
    <row r="27" spans="1:1" hidden="1" outlineLevel="2" x14ac:dyDescent="0.2">
      <c r="A27" s="255" t="s">
        <v>1635</v>
      </c>
    </row>
    <row r="28" spans="1:1" ht="25.5" hidden="1" outlineLevel="2" x14ac:dyDescent="0.2">
      <c r="A28" s="255" t="s">
        <v>1636</v>
      </c>
    </row>
    <row r="29" spans="1:1" hidden="1" outlineLevel="2" x14ac:dyDescent="0.2">
      <c r="A29" s="255" t="s">
        <v>1637</v>
      </c>
    </row>
    <row r="30" spans="1:1" hidden="1" outlineLevel="1" x14ac:dyDescent="0.2">
      <c r="A30" s="255"/>
    </row>
    <row r="31" spans="1:1" x14ac:dyDescent="0.2">
      <c r="A31" s="256" t="s">
        <v>1638</v>
      </c>
    </row>
    <row r="32" spans="1:1" x14ac:dyDescent="0.2">
      <c r="A32" s="249"/>
    </row>
    <row r="33" spans="1:1" x14ac:dyDescent="0.2">
      <c r="A33" s="253" t="s">
        <v>1639</v>
      </c>
    </row>
    <row r="34" spans="1:1" collapsed="1" x14ac:dyDescent="0.2">
      <c r="A34" s="254" t="s">
        <v>1623</v>
      </c>
    </row>
    <row r="35" spans="1:1" hidden="1" outlineLevel="1" x14ac:dyDescent="0.2">
      <c r="A35" s="254" t="s">
        <v>1640</v>
      </c>
    </row>
    <row r="36" spans="1:1" hidden="1" outlineLevel="1" x14ac:dyDescent="0.2">
      <c r="A36" s="254" t="s">
        <v>1641</v>
      </c>
    </row>
    <row r="37" spans="1:1" hidden="1" outlineLevel="1" x14ac:dyDescent="0.2">
      <c r="A37" s="254"/>
    </row>
    <row r="38" spans="1:1" x14ac:dyDescent="0.2">
      <c r="A38" s="256" t="s">
        <v>1642</v>
      </c>
    </row>
    <row r="39" spans="1:1" x14ac:dyDescent="0.2">
      <c r="A39" s="249"/>
    </row>
    <row r="40" spans="1:1" x14ac:dyDescent="0.2">
      <c r="A40" s="253" t="s">
        <v>1643</v>
      </c>
    </row>
    <row r="41" spans="1:1" x14ac:dyDescent="0.2">
      <c r="A41" s="249"/>
    </row>
    <row r="42" spans="1:1" ht="25.5" x14ac:dyDescent="0.2">
      <c r="A42" s="257" t="s">
        <v>1644</v>
      </c>
    </row>
    <row r="43" spans="1:1" collapsed="1" x14ac:dyDescent="0.2">
      <c r="A43" s="254" t="s">
        <v>1645</v>
      </c>
    </row>
    <row r="44" spans="1:1" hidden="1" outlineLevel="1" x14ac:dyDescent="0.2">
      <c r="A44" s="258"/>
    </row>
    <row r="45" spans="1:1" ht="63.75" hidden="1" outlineLevel="1" x14ac:dyDescent="0.2">
      <c r="A45" s="259" t="s">
        <v>1646</v>
      </c>
    </row>
    <row r="46" spans="1:1" ht="140.1" hidden="1" customHeight="1" outlineLevel="1" x14ac:dyDescent="0.2">
      <c r="A46" s="260"/>
    </row>
    <row r="47" spans="1:1" ht="89.25" hidden="1" outlineLevel="1" x14ac:dyDescent="0.2">
      <c r="A47" s="261" t="s">
        <v>1647</v>
      </c>
    </row>
    <row r="48" spans="1:1" hidden="1" outlineLevel="1" x14ac:dyDescent="0.2">
      <c r="A48" s="261"/>
    </row>
    <row r="49" spans="1:1" ht="63.75" hidden="1" outlineLevel="1" x14ac:dyDescent="0.2">
      <c r="A49" s="262" t="s">
        <v>1648</v>
      </c>
    </row>
    <row r="50" spans="1:1" x14ac:dyDescent="0.2">
      <c r="A50" s="249"/>
    </row>
    <row r="51" spans="1:1" x14ac:dyDescent="0.2">
      <c r="A51" s="260" t="s">
        <v>1649</v>
      </c>
    </row>
    <row r="52" spans="1:1" x14ac:dyDescent="0.2">
      <c r="A52" s="251" t="s">
        <v>1650</v>
      </c>
    </row>
    <row r="53" spans="1:1" x14ac:dyDescent="0.2">
      <c r="A53" s="251" t="s">
        <v>1651</v>
      </c>
    </row>
    <row r="54" spans="1:1" x14ac:dyDescent="0.2">
      <c r="A54" s="263"/>
    </row>
    <row r="55" spans="1:1" x14ac:dyDescent="0.2">
      <c r="A55" s="264"/>
    </row>
    <row r="56" spans="1:1" x14ac:dyDescent="0.2">
      <c r="A56" s="265"/>
    </row>
    <row r="57" spans="1:1" ht="15" x14ac:dyDescent="0.2">
      <c r="A57" s="252" t="s">
        <v>1652</v>
      </c>
    </row>
    <row r="59" spans="1:1" ht="51" x14ac:dyDescent="0.2">
      <c r="A59" s="250" t="s">
        <v>1653</v>
      </c>
    </row>
    <row r="61" spans="1:1" ht="25.5" x14ac:dyDescent="0.2">
      <c r="A61" s="250" t="s">
        <v>1654</v>
      </c>
    </row>
    <row r="62" spans="1:1" x14ac:dyDescent="0.2">
      <c r="A62" s="254" t="s">
        <v>1655</v>
      </c>
    </row>
    <row r="63" spans="1:1" x14ac:dyDescent="0.2">
      <c r="A63" s="254" t="s">
        <v>1656</v>
      </c>
    </row>
    <row r="64" spans="1:1" ht="25.5" x14ac:dyDescent="0.2">
      <c r="A64" s="254" t="s">
        <v>1657</v>
      </c>
    </row>
    <row r="65" spans="1:1" x14ac:dyDescent="0.2">
      <c r="A65" s="254" t="s">
        <v>1658</v>
      </c>
    </row>
    <row r="66" spans="1:1" x14ac:dyDescent="0.2">
      <c r="A66" s="255" t="s">
        <v>1659</v>
      </c>
    </row>
    <row r="67" spans="1:1" x14ac:dyDescent="0.2">
      <c r="A67" s="255" t="s">
        <v>1660</v>
      </c>
    </row>
    <row r="68" spans="1:1" x14ac:dyDescent="0.2">
      <c r="A68" s="254" t="s">
        <v>1661</v>
      </c>
    </row>
    <row r="69" spans="1:1" x14ac:dyDescent="0.2">
      <c r="A69" s="254" t="s">
        <v>1662</v>
      </c>
    </row>
    <row r="70" spans="1:1" x14ac:dyDescent="0.2">
      <c r="A70" s="254" t="s">
        <v>1663</v>
      </c>
    </row>
    <row r="71" spans="1:1" x14ac:dyDescent="0.2">
      <c r="A71" s="254" t="s">
        <v>1664</v>
      </c>
    </row>
    <row r="73" spans="1:1" x14ac:dyDescent="0.2">
      <c r="A73" s="250" t="s">
        <v>1665</v>
      </c>
    </row>
    <row r="74" spans="1:1" x14ac:dyDescent="0.2">
      <c r="A74" s="254" t="s">
        <v>1666</v>
      </c>
    </row>
    <row r="75" spans="1:1" x14ac:dyDescent="0.2">
      <c r="A75" s="254" t="s">
        <v>1667</v>
      </c>
    </row>
    <row r="76" spans="1:1" x14ac:dyDescent="0.2">
      <c r="A76" s="254" t="s">
        <v>1668</v>
      </c>
    </row>
    <row r="77" spans="1:1" x14ac:dyDescent="0.2">
      <c r="A77" s="254" t="s">
        <v>1669</v>
      </c>
    </row>
    <row r="78" spans="1:1" x14ac:dyDescent="0.2">
      <c r="A78" s="254" t="s">
        <v>1670</v>
      </c>
    </row>
    <row r="79" spans="1:1" x14ac:dyDescent="0.2">
      <c r="A79" s="254" t="s">
        <v>1671</v>
      </c>
    </row>
    <row r="81" spans="1:1" x14ac:dyDescent="0.2">
      <c r="A81" s="250" t="s">
        <v>1672</v>
      </c>
    </row>
    <row r="82" spans="1:1" x14ac:dyDescent="0.2">
      <c r="A82" s="254" t="s">
        <v>1673</v>
      </c>
    </row>
    <row r="83" spans="1:1" ht="25.5" x14ac:dyDescent="0.2">
      <c r="A83" s="254" t="s">
        <v>1674</v>
      </c>
    </row>
    <row r="85" spans="1:1" ht="38.25" x14ac:dyDescent="0.2">
      <c r="A85" s="266" t="s">
        <v>1675</v>
      </c>
    </row>
    <row r="87" spans="1:1" x14ac:dyDescent="0.2">
      <c r="A87" s="250" t="s">
        <v>1676</v>
      </c>
    </row>
    <row r="88" spans="1:1" ht="25.5" x14ac:dyDescent="0.2">
      <c r="A88" s="254" t="s">
        <v>1677</v>
      </c>
    </row>
    <row r="89" spans="1:1" ht="38.25" x14ac:dyDescent="0.2">
      <c r="A89" s="254" t="s">
        <v>1678</v>
      </c>
    </row>
    <row r="92" spans="1:1" ht="15" x14ac:dyDescent="0.2">
      <c r="A92" s="252" t="s">
        <v>1679</v>
      </c>
    </row>
    <row r="94" spans="1:1" ht="25.5" x14ac:dyDescent="0.2">
      <c r="A94" s="250" t="s">
        <v>1680</v>
      </c>
    </row>
    <row r="95" spans="1:1" x14ac:dyDescent="0.2">
      <c r="A95" s="267" t="s">
        <v>1681</v>
      </c>
    </row>
    <row r="96" spans="1:1" x14ac:dyDescent="0.2">
      <c r="A96" s="250" t="s">
        <v>1682</v>
      </c>
    </row>
    <row r="97" spans="1:1" x14ac:dyDescent="0.2">
      <c r="A97" s="268" t="s">
        <v>1683</v>
      </c>
    </row>
    <row r="100" spans="1:1" x14ac:dyDescent="0.2">
      <c r="A100" s="253" t="s">
        <v>1684</v>
      </c>
    </row>
    <row r="102" spans="1:1" ht="51" x14ac:dyDescent="0.2">
      <c r="A102" s="266" t="s">
        <v>1685</v>
      </c>
    </row>
    <row r="105" spans="1:1" x14ac:dyDescent="0.2">
      <c r="A105" s="250" t="s">
        <v>1686</v>
      </c>
    </row>
    <row r="107" spans="1:1" x14ac:dyDescent="0.2">
      <c r="A107" s="250" t="s">
        <v>1687</v>
      </c>
    </row>
    <row r="108" spans="1:1" x14ac:dyDescent="0.2">
      <c r="A108" s="250" t="s">
        <v>1688</v>
      </c>
    </row>
  </sheetData>
  <hyperlinks>
    <hyperlink ref="A52" r:id="rId1"/>
    <hyperlink ref="A53" r:id="rId2"/>
    <hyperlink ref="A31" r:id="rId3"/>
    <hyperlink ref="A38" r:id="rId4"/>
    <hyperlink ref="A8" r:id="rId5"/>
    <hyperlink ref="A95" r:id="rId6"/>
    <hyperlink ref="A97" r:id="rId7"/>
  </hyperlinks>
  <printOptions horizontalCentered="1"/>
  <pageMargins left="0.45" right="0.45" top="0.5" bottom="0.5" header="0.3" footer="0.3"/>
  <pageSetup orientation="portrait" r:id="rId8"/>
  <headerFooter>
    <oddFooter>&amp;LModelSheet is a trademark of ModelSheet Software, LLC&amp;Rpage &amp;P of &amp;N</oddFooter>
  </headerFooter>
  <drawing r:id="rId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126"/>
  <sheetViews>
    <sheetView zoomScaleNormal="100" workbookViewId="0"/>
  </sheetViews>
  <sheetFormatPr defaultRowHeight="12.75" customHeight="1" outlineLevelRow="2" x14ac:dyDescent="0.2"/>
  <cols>
    <col min="1" max="1" width="30.85546875" customWidth="1"/>
    <col min="2" max="2" width="17.85546875" customWidth="1"/>
    <col min="3" max="13" width="16" customWidth="1"/>
  </cols>
  <sheetData>
    <row r="1" spans="1:13" ht="12.75" customHeight="1" x14ac:dyDescent="0.2">
      <c r="A1" s="270" t="str">
        <f>Inputs!E7</f>
        <v>ModelSheet Software</v>
      </c>
      <c r="B1" s="270"/>
      <c r="C1" s="270"/>
      <c r="D1" s="270"/>
    </row>
    <row r="2" spans="1:13" ht="12.75" customHeight="1" x14ac:dyDescent="0.2">
      <c r="A2" s="270" t="str">
        <f>Inputs!E9</f>
        <v>Project Test</v>
      </c>
      <c r="B2" s="270"/>
      <c r="C2" s="270"/>
      <c r="D2" s="270"/>
    </row>
    <row r="3" spans="1:13" ht="12.75" customHeight="1" x14ac:dyDescent="0.2">
      <c r="A3" s="270" t="str">
        <f>"Blended Financing, Subproject "</f>
        <v xml:space="preserve">Blended Financing, Subproject </v>
      </c>
      <c r="B3" s="270"/>
      <c r="C3" s="270"/>
      <c r="D3" s="270"/>
    </row>
    <row r="4" spans="1:13" ht="12.75" customHeight="1" x14ac:dyDescent="0.2">
      <c r="A4" s="270" t="str">
        <f>" "</f>
        <v xml:space="preserve"> </v>
      </c>
      <c r="B4" s="270"/>
      <c r="C4" s="270"/>
      <c r="D4" s="270"/>
    </row>
    <row r="5" spans="1:13" ht="12.75" customHeight="1" x14ac:dyDescent="0.2">
      <c r="A5" s="2" t="str">
        <f>"Cash Flow"</f>
        <v>Cash Flow</v>
      </c>
    </row>
    <row r="6" spans="1:13" ht="12.75" customHeight="1" x14ac:dyDescent="0.2">
      <c r="A6" s="1" t="str">
        <f>" "</f>
        <v xml:space="preserve"> </v>
      </c>
    </row>
    <row r="7" spans="1:13" ht="12.75" customHeight="1" x14ac:dyDescent="0.2">
      <c r="B7" s="17" t="str">
        <f>'(FnCalls 1)'!G6</f>
        <v>Q4 2010</v>
      </c>
      <c r="C7" s="62" t="str">
        <f>'(FnCalls 1)'!H4</f>
        <v>2010</v>
      </c>
      <c r="D7" s="18" t="str">
        <f>'(FnCalls 1)'!G7</f>
        <v>Q1 2011</v>
      </c>
      <c r="E7" s="18" t="str">
        <f>'(FnCalls 1)'!G8</f>
        <v>Q2 2011</v>
      </c>
      <c r="F7" s="18" t="str">
        <f>'(FnCalls 1)'!G9</f>
        <v>Q3 2011</v>
      </c>
      <c r="G7" s="18" t="str">
        <f>'(FnCalls 1)'!G10</f>
        <v>Q4 2011</v>
      </c>
      <c r="H7" s="62" t="str">
        <f>'(FnCalls 1)'!H7</f>
        <v>2011</v>
      </c>
      <c r="I7" s="18" t="str">
        <f>'(FnCalls 1)'!G11</f>
        <v>Q1 2012</v>
      </c>
      <c r="J7" s="18" t="str">
        <f>'(FnCalls 1)'!G12</f>
        <v>Q2 2012</v>
      </c>
      <c r="K7" s="18" t="str">
        <f>'(FnCalls 1)'!G13</f>
        <v>Q3 2012</v>
      </c>
      <c r="L7" s="18" t="str">
        <f>'(FnCalls 1)'!G14</f>
        <v>Q4 2012</v>
      </c>
      <c r="M7" s="62" t="str">
        <f>'(FnCalls 1)'!H11</f>
        <v>2012</v>
      </c>
    </row>
    <row r="8" spans="1:13" ht="12.75" customHeight="1" x14ac:dyDescent="0.2">
      <c r="A8" s="111" t="str">
        <f>Labels!B14</f>
        <v>Cash Flow</v>
      </c>
      <c r="B8" s="110"/>
      <c r="C8" s="75"/>
      <c r="D8" s="110"/>
      <c r="E8" s="110"/>
      <c r="F8" s="110"/>
      <c r="G8" s="110"/>
      <c r="H8" s="75"/>
      <c r="I8" s="110"/>
      <c r="J8" s="110"/>
      <c r="K8" s="110"/>
      <c r="L8" s="110"/>
      <c r="M8" s="75"/>
    </row>
    <row r="9" spans="1:13" ht="12.75" customHeight="1" x14ac:dyDescent="0.2">
      <c r="A9" s="114" t="str">
        <f>"   "&amp;Labels!B135</f>
        <v xml:space="preserve">   EBITDA</v>
      </c>
      <c r="B9" s="113">
        <f>'Blended Fin'!B18</f>
        <v>0</v>
      </c>
      <c r="C9" s="69">
        <f>'Blended Fin'!B18</f>
        <v>0</v>
      </c>
      <c r="D9" s="113">
        <f>'Blended Fin'!D18</f>
        <v>0</v>
      </c>
      <c r="E9" s="113">
        <f>'Blended Fin'!E18</f>
        <v>0</v>
      </c>
      <c r="F9" s="113">
        <f>'Blended Fin'!F18</f>
        <v>0</v>
      </c>
      <c r="G9" s="113">
        <f>'Blended Fin'!G18</f>
        <v>0</v>
      </c>
      <c r="H9" s="69">
        <f t="shared" ref="H9:H17" si="0">SUM(D9:G9)</f>
        <v>0</v>
      </c>
      <c r="I9" s="113">
        <f>'Blended Fin'!I18</f>
        <v>0</v>
      </c>
      <c r="J9" s="113">
        <f>'Blended Fin'!J18</f>
        <v>0</v>
      </c>
      <c r="K9" s="113">
        <f>'Blended Fin'!K18</f>
        <v>0</v>
      </c>
      <c r="L9" s="113">
        <f>'Blended Fin'!L18</f>
        <v>0</v>
      </c>
      <c r="M9" s="69">
        <f t="shared" ref="M9:M17" si="1">SUM(I9:L9)</f>
        <v>0</v>
      </c>
    </row>
    <row r="10" spans="1:13" ht="12.75" customHeight="1" x14ac:dyDescent="0.2">
      <c r="A10" s="114" t="str">
        <f>"   "&amp;Labels!B136</f>
        <v xml:space="preserve">   Fixed Invest</v>
      </c>
      <c r="B10" s="113">
        <f>'Blended Fin'!B19</f>
        <v>0</v>
      </c>
      <c r="C10" s="69">
        <f>'Blended Fin'!B19</f>
        <v>0</v>
      </c>
      <c r="D10" s="113">
        <f>'Blended Fin'!D19</f>
        <v>0</v>
      </c>
      <c r="E10" s="113">
        <f>'Blended Fin'!E19</f>
        <v>0</v>
      </c>
      <c r="F10" s="113">
        <f>'Blended Fin'!F19</f>
        <v>0</v>
      </c>
      <c r="G10" s="113">
        <f>'Blended Fin'!G19</f>
        <v>0</v>
      </c>
      <c r="H10" s="69">
        <f t="shared" si="0"/>
        <v>0</v>
      </c>
      <c r="I10" s="113">
        <f>'Blended Fin'!I19</f>
        <v>0</v>
      </c>
      <c r="J10" s="113">
        <f>'Blended Fin'!J19</f>
        <v>0</v>
      </c>
      <c r="K10" s="113">
        <f>'Blended Fin'!K19</f>
        <v>0</v>
      </c>
      <c r="L10" s="113">
        <f>'Blended Fin'!L19</f>
        <v>0</v>
      </c>
      <c r="M10" s="69">
        <f t="shared" si="1"/>
        <v>0</v>
      </c>
    </row>
    <row r="11" spans="1:13" ht="12.75" customHeight="1" x14ac:dyDescent="0.2">
      <c r="A11" s="114" t="str">
        <f>"   "&amp;Labels!B137</f>
        <v xml:space="preserve">   Inv Tax Credit</v>
      </c>
      <c r="B11" s="113">
        <f>'Blended Fin'!B20</f>
        <v>0</v>
      </c>
      <c r="C11" s="69">
        <f>'Blended Fin'!B20</f>
        <v>0</v>
      </c>
      <c r="D11" s="113">
        <f>'Blended Fin'!D20</f>
        <v>0</v>
      </c>
      <c r="E11" s="113">
        <f>'Blended Fin'!E20</f>
        <v>0</v>
      </c>
      <c r="F11" s="113">
        <f>'Blended Fin'!F20</f>
        <v>0</v>
      </c>
      <c r="G11" s="113">
        <f>'Blended Fin'!G20</f>
        <v>0</v>
      </c>
      <c r="H11" s="69">
        <f t="shared" si="0"/>
        <v>0</v>
      </c>
      <c r="I11" s="113">
        <f>'Blended Fin'!I20</f>
        <v>0</v>
      </c>
      <c r="J11" s="113">
        <f>'Blended Fin'!J20</f>
        <v>0</v>
      </c>
      <c r="K11" s="113">
        <f>'Blended Fin'!K20</f>
        <v>0</v>
      </c>
      <c r="L11" s="113">
        <f>'Blended Fin'!L20</f>
        <v>0</v>
      </c>
      <c r="M11" s="69">
        <f t="shared" si="1"/>
        <v>0</v>
      </c>
    </row>
    <row r="12" spans="1:13" ht="12.75" customHeight="1" x14ac:dyDescent="0.2">
      <c r="A12" s="114" t="str">
        <f>"   "&amp;Labels!B138</f>
        <v xml:space="preserve">   Working Cap</v>
      </c>
      <c r="B12" s="113">
        <f>'Blended Fin'!B21</f>
        <v>0</v>
      </c>
      <c r="C12" s="69">
        <f>'Blended Fin'!B21</f>
        <v>0</v>
      </c>
      <c r="D12" s="113">
        <f>'Blended Fin'!D21</f>
        <v>0</v>
      </c>
      <c r="E12" s="113">
        <f>'Blended Fin'!E21</f>
        <v>0</v>
      </c>
      <c r="F12" s="113">
        <f>'Blended Fin'!F21</f>
        <v>0</v>
      </c>
      <c r="G12" s="113">
        <f>'Blended Fin'!G21</f>
        <v>0</v>
      </c>
      <c r="H12" s="69">
        <f t="shared" si="0"/>
        <v>0</v>
      </c>
      <c r="I12" s="113">
        <f>'Blended Fin'!I21</f>
        <v>0</v>
      </c>
      <c r="J12" s="113">
        <f>'Blended Fin'!J21</f>
        <v>0</v>
      </c>
      <c r="K12" s="113">
        <f>'Blended Fin'!K21</f>
        <v>0</v>
      </c>
      <c r="L12" s="113">
        <f>'Blended Fin'!L21</f>
        <v>0</v>
      </c>
      <c r="M12" s="69">
        <f t="shared" si="1"/>
        <v>0</v>
      </c>
    </row>
    <row r="13" spans="1:13" ht="12.75" customHeight="1" x14ac:dyDescent="0.2">
      <c r="A13" s="114" t="str">
        <f>"   "&amp;Labels!B139</f>
        <v xml:space="preserve">   Debt Principal</v>
      </c>
      <c r="B13" s="113">
        <f>'Blended Fin'!B22</f>
        <v>0</v>
      </c>
      <c r="C13" s="69">
        <f>'Blended Fin'!B22</f>
        <v>0</v>
      </c>
      <c r="D13" s="113">
        <f>'Blended Fin'!D22</f>
        <v>0</v>
      </c>
      <c r="E13" s="113">
        <f>'Blended Fin'!E22</f>
        <v>0</v>
      </c>
      <c r="F13" s="113">
        <f>'Blended Fin'!F22</f>
        <v>0</v>
      </c>
      <c r="G13" s="113">
        <f>'Blended Fin'!G22</f>
        <v>0</v>
      </c>
      <c r="H13" s="69">
        <f t="shared" si="0"/>
        <v>0</v>
      </c>
      <c r="I13" s="113">
        <f>'Blended Fin'!I22</f>
        <v>0</v>
      </c>
      <c r="J13" s="113">
        <f>'Blended Fin'!J22</f>
        <v>0</v>
      </c>
      <c r="K13" s="113">
        <f>'Blended Fin'!K22</f>
        <v>0</v>
      </c>
      <c r="L13" s="113">
        <f>'Blended Fin'!L22</f>
        <v>0</v>
      </c>
      <c r="M13" s="69">
        <f t="shared" si="1"/>
        <v>0</v>
      </c>
    </row>
    <row r="14" spans="1:13" ht="12.75" customHeight="1" x14ac:dyDescent="0.2">
      <c r="A14" s="114" t="str">
        <f>"   "&amp;Labels!B140</f>
        <v xml:space="preserve">   Interest Pay</v>
      </c>
      <c r="B14" s="113">
        <f>'Blended Fin'!B23</f>
        <v>0</v>
      </c>
      <c r="C14" s="69">
        <f>'Blended Fin'!B23</f>
        <v>0</v>
      </c>
      <c r="D14" s="113">
        <f>'Blended Fin'!D23</f>
        <v>0</v>
      </c>
      <c r="E14" s="113">
        <f>'Blended Fin'!E23</f>
        <v>0</v>
      </c>
      <c r="F14" s="113">
        <f>'Blended Fin'!F23</f>
        <v>0</v>
      </c>
      <c r="G14" s="113">
        <f>'Blended Fin'!G23</f>
        <v>0</v>
      </c>
      <c r="H14" s="69">
        <f t="shared" si="0"/>
        <v>0</v>
      </c>
      <c r="I14" s="113">
        <f>'Blended Fin'!I23</f>
        <v>0</v>
      </c>
      <c r="J14" s="113">
        <f>'Blended Fin'!J23</f>
        <v>0</v>
      </c>
      <c r="K14" s="113">
        <f>'Blended Fin'!K23</f>
        <v>0</v>
      </c>
      <c r="L14" s="113">
        <f>'Blended Fin'!L23</f>
        <v>0</v>
      </c>
      <c r="M14" s="69">
        <f t="shared" si="1"/>
        <v>0</v>
      </c>
    </row>
    <row r="15" spans="1:13" ht="12.75" customHeight="1" x14ac:dyDescent="0.2">
      <c r="A15" s="114" t="str">
        <f>"   "&amp;Labels!B141</f>
        <v xml:space="preserve">   Lease Pay</v>
      </c>
      <c r="B15" s="113">
        <f>'Blended Fin'!B24</f>
        <v>0</v>
      </c>
      <c r="C15" s="69">
        <f>'Blended Fin'!B24</f>
        <v>0</v>
      </c>
      <c r="D15" s="113">
        <f>'Blended Fin'!D24</f>
        <v>0</v>
      </c>
      <c r="E15" s="113">
        <f>'Blended Fin'!E24</f>
        <v>0</v>
      </c>
      <c r="F15" s="113">
        <f>'Blended Fin'!F24</f>
        <v>0</v>
      </c>
      <c r="G15" s="113">
        <f>'Blended Fin'!G24</f>
        <v>0</v>
      </c>
      <c r="H15" s="69">
        <f t="shared" si="0"/>
        <v>0</v>
      </c>
      <c r="I15" s="113">
        <f>'Blended Fin'!I24</f>
        <v>0</v>
      </c>
      <c r="J15" s="113">
        <f>'Blended Fin'!J24</f>
        <v>0</v>
      </c>
      <c r="K15" s="113">
        <f>'Blended Fin'!K24</f>
        <v>0</v>
      </c>
      <c r="L15" s="113">
        <f>'Blended Fin'!L24</f>
        <v>0</v>
      </c>
      <c r="M15" s="69">
        <f t="shared" si="1"/>
        <v>0</v>
      </c>
    </row>
    <row r="16" spans="1:13" ht="12.75" customHeight="1" x14ac:dyDescent="0.2">
      <c r="A16" s="114" t="str">
        <f>"   "&amp;Labels!B142</f>
        <v xml:space="preserve">   Income Tax</v>
      </c>
      <c r="B16" s="113">
        <f>'Blended Fin'!B25</f>
        <v>0</v>
      </c>
      <c r="C16" s="69">
        <f>'Blended Fin'!B25</f>
        <v>0</v>
      </c>
      <c r="D16" s="113">
        <f>'Blended Fin'!D25</f>
        <v>0</v>
      </c>
      <c r="E16" s="113">
        <f>'Blended Fin'!E25</f>
        <v>0</v>
      </c>
      <c r="F16" s="113">
        <f>'Blended Fin'!F25</f>
        <v>0</v>
      </c>
      <c r="G16" s="113">
        <f>'Blended Fin'!G25</f>
        <v>0</v>
      </c>
      <c r="H16" s="69">
        <f t="shared" si="0"/>
        <v>0</v>
      </c>
      <c r="I16" s="113">
        <f>'Blended Fin'!I25</f>
        <v>0</v>
      </c>
      <c r="J16" s="113">
        <f>'Blended Fin'!J25</f>
        <v>0</v>
      </c>
      <c r="K16" s="113">
        <f>'Blended Fin'!K25</f>
        <v>0</v>
      </c>
      <c r="L16" s="113">
        <f>'Blended Fin'!L25</f>
        <v>0</v>
      </c>
      <c r="M16" s="69">
        <f t="shared" si="1"/>
        <v>0</v>
      </c>
    </row>
    <row r="17" spans="1:13" ht="12.75" customHeight="1" x14ac:dyDescent="0.2">
      <c r="A17" s="121" t="str">
        <f>"   "&amp;Labels!C134</f>
        <v xml:space="preserve">   Total</v>
      </c>
      <c r="B17" s="132">
        <f>SUM(B9:B16)</f>
        <v>0</v>
      </c>
      <c r="C17" s="70">
        <f>SUM(B9:B16)</f>
        <v>0</v>
      </c>
      <c r="D17" s="132">
        <f>SUM(D9:D16)</f>
        <v>0</v>
      </c>
      <c r="E17" s="132">
        <f>SUM(E9:E16)</f>
        <v>0</v>
      </c>
      <c r="F17" s="132">
        <f>SUM(F9:F16)</f>
        <v>0</v>
      </c>
      <c r="G17" s="132">
        <f>SUM(G9:G16)</f>
        <v>0</v>
      </c>
      <c r="H17" s="70">
        <f t="shared" si="0"/>
        <v>0</v>
      </c>
      <c r="I17" s="132">
        <f>SUM(I9:I16)</f>
        <v>0</v>
      </c>
      <c r="J17" s="132">
        <f>SUM(J9:J16)</f>
        <v>0</v>
      </c>
      <c r="K17" s="132">
        <f>SUM(K9:K16)</f>
        <v>0</v>
      </c>
      <c r="L17" s="132">
        <f>SUM(L9:L16)</f>
        <v>0</v>
      </c>
      <c r="M17" s="70">
        <f t="shared" si="1"/>
        <v>0</v>
      </c>
    </row>
    <row r="19" spans="1:13" ht="12.75" customHeight="1" x14ac:dyDescent="0.2">
      <c r="A19" s="272" t="str">
        <f>"Cash Flow - Fixed Investment"</f>
        <v>Cash Flow - Fixed Investment</v>
      </c>
      <c r="B19" s="272"/>
    </row>
    <row r="20" spans="1:13" ht="12.75" hidden="1" customHeight="1" outlineLevel="1" x14ac:dyDescent="0.2">
      <c r="A20" s="272" t="str">
        <f>""</f>
        <v/>
      </c>
      <c r="B20" s="272"/>
    </row>
    <row r="21" spans="1:13" ht="12.75" hidden="1" customHeight="1" outlineLevel="1" x14ac:dyDescent="0.2">
      <c r="B21" s="17" t="str">
        <f>'(FnCalls 1)'!G6</f>
        <v>Q4 2010</v>
      </c>
      <c r="C21" s="62" t="str">
        <f>'(FnCalls 1)'!H4</f>
        <v>2010</v>
      </c>
      <c r="D21" s="18" t="str">
        <f>'(FnCalls 1)'!G7</f>
        <v>Q1 2011</v>
      </c>
      <c r="E21" s="18" t="str">
        <f>'(FnCalls 1)'!G8</f>
        <v>Q2 2011</v>
      </c>
      <c r="F21" s="18" t="str">
        <f>'(FnCalls 1)'!G9</f>
        <v>Q3 2011</v>
      </c>
      <c r="G21" s="18" t="str">
        <f>'(FnCalls 1)'!G10</f>
        <v>Q4 2011</v>
      </c>
      <c r="H21" s="62" t="str">
        <f>'(FnCalls 1)'!H7</f>
        <v>2011</v>
      </c>
      <c r="I21" s="18" t="str">
        <f>'(FnCalls 1)'!G11</f>
        <v>Q1 2012</v>
      </c>
      <c r="J21" s="18" t="str">
        <f>'(FnCalls 1)'!G12</f>
        <v>Q2 2012</v>
      </c>
      <c r="K21" s="18" t="str">
        <f>'(FnCalls 1)'!G13</f>
        <v>Q3 2012</v>
      </c>
      <c r="L21" s="18" t="str">
        <f>'(FnCalls 1)'!G14</f>
        <v>Q4 2012</v>
      </c>
      <c r="M21" s="62" t="str">
        <f>'(FnCalls 1)'!H11</f>
        <v>2012</v>
      </c>
    </row>
    <row r="22" spans="1:13" ht="12.75" hidden="1" customHeight="1" outlineLevel="1" x14ac:dyDescent="0.2">
      <c r="A22" s="111" t="str">
        <f>Labels!B16</f>
        <v>Cash Flow - Fixed Invest</v>
      </c>
      <c r="B22" s="110"/>
      <c r="C22" s="75"/>
      <c r="D22" s="110"/>
      <c r="E22" s="110"/>
      <c r="F22" s="110"/>
      <c r="G22" s="110"/>
      <c r="H22" s="75"/>
      <c r="I22" s="110"/>
      <c r="J22" s="110"/>
      <c r="K22" s="110"/>
      <c r="L22" s="110"/>
      <c r="M22" s="75"/>
    </row>
    <row r="23" spans="1:13" ht="12.75" hidden="1" customHeight="1" outlineLevel="1" x14ac:dyDescent="0.2">
      <c r="A23" s="114" t="str">
        <f>"   "&amp;Labels!B166</f>
        <v xml:space="preserve">   Depreciable</v>
      </c>
      <c r="B23" s="113"/>
      <c r="C23" s="69"/>
      <c r="D23" s="113"/>
      <c r="E23" s="113"/>
      <c r="F23" s="113"/>
      <c r="G23" s="113"/>
      <c r="H23" s="69"/>
      <c r="I23" s="113"/>
      <c r="J23" s="113"/>
      <c r="K23" s="113"/>
      <c r="L23" s="113"/>
      <c r="M23" s="69"/>
    </row>
    <row r="24" spans="1:13" ht="12.75" hidden="1" customHeight="1" outlineLevel="1" x14ac:dyDescent="0.2">
      <c r="A24" s="144" t="str">
        <f>"      "&amp;Labels!B170</f>
        <v xml:space="preserve">      Invest 1</v>
      </c>
      <c r="B24" s="116">
        <f>'Blended Fin'!B71</f>
        <v>0</v>
      </c>
      <c r="C24" s="69">
        <f>'Blended Fin'!B71</f>
        <v>0</v>
      </c>
      <c r="D24" s="116">
        <f>'Blended Fin'!D71</f>
        <v>0</v>
      </c>
      <c r="E24" s="116">
        <f>'Blended Fin'!E71</f>
        <v>0</v>
      </c>
      <c r="F24" s="116">
        <f>'Blended Fin'!F71</f>
        <v>0</v>
      </c>
      <c r="G24" s="116">
        <f>'Blended Fin'!G71</f>
        <v>0</v>
      </c>
      <c r="H24" s="69">
        <f>SUM(D24:G24)</f>
        <v>0</v>
      </c>
      <c r="I24" s="116">
        <f>'Blended Fin'!I71</f>
        <v>0</v>
      </c>
      <c r="J24" s="116">
        <f>'Blended Fin'!J71</f>
        <v>0</v>
      </c>
      <c r="K24" s="116">
        <f>'Blended Fin'!K71</f>
        <v>0</v>
      </c>
      <c r="L24" s="116">
        <f>'Blended Fin'!L71</f>
        <v>0</v>
      </c>
      <c r="M24" s="69">
        <f>SUM(I24:L24)</f>
        <v>0</v>
      </c>
    </row>
    <row r="25" spans="1:13" ht="12.75" hidden="1" customHeight="1" outlineLevel="1" x14ac:dyDescent="0.2">
      <c r="A25" s="144" t="str">
        <f>"      "&amp;Labels!B171</f>
        <v xml:space="preserve">      Invest 2</v>
      </c>
      <c r="B25" s="116">
        <f>'Blended Fin'!B72</f>
        <v>0</v>
      </c>
      <c r="C25" s="69">
        <f>'Blended Fin'!B72</f>
        <v>0</v>
      </c>
      <c r="D25" s="116">
        <f>'Blended Fin'!D72</f>
        <v>0</v>
      </c>
      <c r="E25" s="116">
        <f>'Blended Fin'!E72</f>
        <v>0</v>
      </c>
      <c r="F25" s="116">
        <f>'Blended Fin'!F72</f>
        <v>0</v>
      </c>
      <c r="G25" s="116">
        <f>'Blended Fin'!G72</f>
        <v>0</v>
      </c>
      <c r="H25" s="69">
        <f>SUM(D25:G25)</f>
        <v>0</v>
      </c>
      <c r="I25" s="116">
        <f>'Blended Fin'!I72</f>
        <v>0</v>
      </c>
      <c r="J25" s="116">
        <f>'Blended Fin'!J72</f>
        <v>0</v>
      </c>
      <c r="K25" s="116">
        <f>'Blended Fin'!K72</f>
        <v>0</v>
      </c>
      <c r="L25" s="116">
        <f>'Blended Fin'!L72</f>
        <v>0</v>
      </c>
      <c r="M25" s="69">
        <f>SUM(I25:L25)</f>
        <v>0</v>
      </c>
    </row>
    <row r="26" spans="1:13" ht="12.75" hidden="1" customHeight="1" outlineLevel="1" x14ac:dyDescent="0.2">
      <c r="A26" s="114" t="str">
        <f>"      "&amp;Labels!C169</f>
        <v xml:space="preserve">      Total</v>
      </c>
      <c r="B26" s="113">
        <f>SUM(B24:B25)</f>
        <v>0</v>
      </c>
      <c r="C26" s="69">
        <f>SUM(B24:B25)</f>
        <v>0</v>
      </c>
      <c r="D26" s="113">
        <f>SUM(D24:D25)</f>
        <v>0</v>
      </c>
      <c r="E26" s="113">
        <f>SUM(E24:E25)</f>
        <v>0</v>
      </c>
      <c r="F26" s="113">
        <f>SUM(F24:F25)</f>
        <v>0</v>
      </c>
      <c r="G26" s="113">
        <f>SUM(G24:G25)</f>
        <v>0</v>
      </c>
      <c r="H26" s="69">
        <f>SUM(D26:G26)</f>
        <v>0</v>
      </c>
      <c r="I26" s="113">
        <f>SUM(I24:I25)</f>
        <v>0</v>
      </c>
      <c r="J26" s="113">
        <f>SUM(J24:J25)</f>
        <v>0</v>
      </c>
      <c r="K26" s="113">
        <f>SUM(K24:K25)</f>
        <v>0</v>
      </c>
      <c r="L26" s="113">
        <f>SUM(L24:L25)</f>
        <v>0</v>
      </c>
      <c r="M26" s="69">
        <f>SUM(I26:L26)</f>
        <v>0</v>
      </c>
    </row>
    <row r="27" spans="1:13" ht="12.75" hidden="1" customHeight="1" outlineLevel="1" x14ac:dyDescent="0.2">
      <c r="A27" s="114" t="str">
        <f>"   "&amp;Labels!B167</f>
        <v xml:space="preserve">   Non-Deprec</v>
      </c>
      <c r="B27" s="113"/>
      <c r="C27" s="69"/>
      <c r="D27" s="113"/>
      <c r="E27" s="113"/>
      <c r="F27" s="113"/>
      <c r="G27" s="113"/>
      <c r="H27" s="69"/>
      <c r="I27" s="113"/>
      <c r="J27" s="113"/>
      <c r="K27" s="113"/>
      <c r="L27" s="113"/>
      <c r="M27" s="69"/>
    </row>
    <row r="28" spans="1:13" ht="12.75" hidden="1" customHeight="1" outlineLevel="1" x14ac:dyDescent="0.2">
      <c r="A28" s="144" t="str">
        <f>"      "&amp;Labels!B170</f>
        <v xml:space="preserve">      Invest 1</v>
      </c>
      <c r="B28" s="116">
        <f>'Blended Fin'!B75</f>
        <v>0</v>
      </c>
      <c r="C28" s="69">
        <f>'Blended Fin'!B75</f>
        <v>0</v>
      </c>
      <c r="D28" s="116">
        <f>'Blended Fin'!D75</f>
        <v>0</v>
      </c>
      <c r="E28" s="116">
        <f>'Blended Fin'!E75</f>
        <v>0</v>
      </c>
      <c r="F28" s="116">
        <f>'Blended Fin'!F75</f>
        <v>0</v>
      </c>
      <c r="G28" s="116">
        <f>'Blended Fin'!G75</f>
        <v>0</v>
      </c>
      <c r="H28" s="69">
        <f t="shared" ref="H28:H33" si="2">SUM(D28:G28)</f>
        <v>0</v>
      </c>
      <c r="I28" s="116">
        <f>'Blended Fin'!I75</f>
        <v>0</v>
      </c>
      <c r="J28" s="116">
        <f>'Blended Fin'!J75</f>
        <v>0</v>
      </c>
      <c r="K28" s="116">
        <f>'Blended Fin'!K75</f>
        <v>0</v>
      </c>
      <c r="L28" s="116">
        <f>'Blended Fin'!L75</f>
        <v>0</v>
      </c>
      <c r="M28" s="69">
        <f t="shared" ref="M28:M33" si="3">SUM(I28:L28)</f>
        <v>0</v>
      </c>
    </row>
    <row r="29" spans="1:13" ht="12.75" hidden="1" customHeight="1" outlineLevel="1" x14ac:dyDescent="0.2">
      <c r="A29" s="144" t="str">
        <f>"      "&amp;Labels!B171</f>
        <v xml:space="preserve">      Invest 2</v>
      </c>
      <c r="B29" s="116">
        <f>'Blended Fin'!B76</f>
        <v>0</v>
      </c>
      <c r="C29" s="69">
        <f>'Blended Fin'!B76</f>
        <v>0</v>
      </c>
      <c r="D29" s="116">
        <f>'Blended Fin'!D76</f>
        <v>0</v>
      </c>
      <c r="E29" s="116">
        <f>'Blended Fin'!E76</f>
        <v>0</v>
      </c>
      <c r="F29" s="116">
        <f>'Blended Fin'!F76</f>
        <v>0</v>
      </c>
      <c r="G29" s="116">
        <f>'Blended Fin'!G76</f>
        <v>0</v>
      </c>
      <c r="H29" s="69">
        <f t="shared" si="2"/>
        <v>0</v>
      </c>
      <c r="I29" s="116">
        <f>'Blended Fin'!I76</f>
        <v>0</v>
      </c>
      <c r="J29" s="116">
        <f>'Blended Fin'!J76</f>
        <v>0</v>
      </c>
      <c r="K29" s="116">
        <f>'Blended Fin'!K76</f>
        <v>0</v>
      </c>
      <c r="L29" s="116">
        <f>'Blended Fin'!L76</f>
        <v>0</v>
      </c>
      <c r="M29" s="69">
        <f t="shared" si="3"/>
        <v>0</v>
      </c>
    </row>
    <row r="30" spans="1:13" ht="12.75" hidden="1" customHeight="1" outlineLevel="1" x14ac:dyDescent="0.2">
      <c r="A30" s="114" t="str">
        <f>"      "&amp;Labels!C169</f>
        <v xml:space="preserve">      Total</v>
      </c>
      <c r="B30" s="113">
        <f>SUM(B28:B29)</f>
        <v>0</v>
      </c>
      <c r="C30" s="69">
        <f>SUM(B28:B29)</f>
        <v>0</v>
      </c>
      <c r="D30" s="113">
        <f>SUM(D28:D29)</f>
        <v>0</v>
      </c>
      <c r="E30" s="113">
        <f>SUM(E28:E29)</f>
        <v>0</v>
      </c>
      <c r="F30" s="113">
        <f>SUM(F28:F29)</f>
        <v>0</v>
      </c>
      <c r="G30" s="113">
        <f>SUM(G28:G29)</f>
        <v>0</v>
      </c>
      <c r="H30" s="69">
        <f t="shared" si="2"/>
        <v>0</v>
      </c>
      <c r="I30" s="113">
        <f>SUM(I28:I29)</f>
        <v>0</v>
      </c>
      <c r="J30" s="113">
        <f>SUM(J28:J29)</f>
        <v>0</v>
      </c>
      <c r="K30" s="113">
        <f>SUM(K28:K29)</f>
        <v>0</v>
      </c>
      <c r="L30" s="113">
        <f>SUM(L28:L29)</f>
        <v>0</v>
      </c>
      <c r="M30" s="69">
        <f t="shared" si="3"/>
        <v>0</v>
      </c>
    </row>
    <row r="31" spans="1:13" ht="12.75" hidden="1" customHeight="1" outlineLevel="1" x14ac:dyDescent="0.2">
      <c r="A31" s="117" t="str">
        <f>"   "&amp;Labels!C165</f>
        <v xml:space="preserve">   Total</v>
      </c>
      <c r="B31" s="120">
        <f>SUM(B26,B30)</f>
        <v>0</v>
      </c>
      <c r="C31" s="69">
        <f>SUM(B26,B30)</f>
        <v>0</v>
      </c>
      <c r="D31" s="120">
        <f>SUM(D26,D30)</f>
        <v>0</v>
      </c>
      <c r="E31" s="120">
        <f>SUM(E26,E30)</f>
        <v>0</v>
      </c>
      <c r="F31" s="120">
        <f>SUM(F26,F30)</f>
        <v>0</v>
      </c>
      <c r="G31" s="120">
        <f>SUM(G26,G30)</f>
        <v>0</v>
      </c>
      <c r="H31" s="69">
        <f t="shared" si="2"/>
        <v>0</v>
      </c>
      <c r="I31" s="120">
        <f>SUM(I26,I30)</f>
        <v>0</v>
      </c>
      <c r="J31" s="120">
        <f>SUM(J26,J30)</f>
        <v>0</v>
      </c>
      <c r="K31" s="120">
        <f>SUM(K26,K30)</f>
        <v>0</v>
      </c>
      <c r="L31" s="120">
        <f>SUM(L26,L30)</f>
        <v>0</v>
      </c>
      <c r="M31" s="69">
        <f t="shared" si="3"/>
        <v>0</v>
      </c>
    </row>
    <row r="32" spans="1:13" ht="12.75" hidden="1" customHeight="1" outlineLevel="1" x14ac:dyDescent="0.2">
      <c r="A32" s="144" t="str">
        <f>"      "&amp;Labels!B170</f>
        <v xml:space="preserve">      Invest 1</v>
      </c>
      <c r="B32" s="116">
        <f>SUM(B24,B28)</f>
        <v>0</v>
      </c>
      <c r="C32" s="69">
        <f>SUM(B24,B28)</f>
        <v>0</v>
      </c>
      <c r="D32" s="116">
        <f t="shared" ref="D32:G34" si="4">SUM(D24,D28)</f>
        <v>0</v>
      </c>
      <c r="E32" s="116">
        <f t="shared" si="4"/>
        <v>0</v>
      </c>
      <c r="F32" s="116">
        <f t="shared" si="4"/>
        <v>0</v>
      </c>
      <c r="G32" s="116">
        <f t="shared" si="4"/>
        <v>0</v>
      </c>
      <c r="H32" s="69">
        <f t="shared" si="2"/>
        <v>0</v>
      </c>
      <c r="I32" s="116">
        <f t="shared" ref="I32:L34" si="5">SUM(I24,I28)</f>
        <v>0</v>
      </c>
      <c r="J32" s="116">
        <f t="shared" si="5"/>
        <v>0</v>
      </c>
      <c r="K32" s="116">
        <f t="shared" si="5"/>
        <v>0</v>
      </c>
      <c r="L32" s="116">
        <f t="shared" si="5"/>
        <v>0</v>
      </c>
      <c r="M32" s="69">
        <f t="shared" si="3"/>
        <v>0</v>
      </c>
    </row>
    <row r="33" spans="1:13" ht="12.75" hidden="1" customHeight="1" outlineLevel="1" x14ac:dyDescent="0.2">
      <c r="A33" s="144" t="str">
        <f>"      "&amp;Labels!B171</f>
        <v xml:space="preserve">      Invest 2</v>
      </c>
      <c r="B33" s="116">
        <f>SUM(B25,B29)</f>
        <v>0</v>
      </c>
      <c r="C33" s="69">
        <f>SUM(B25,B29)</f>
        <v>0</v>
      </c>
      <c r="D33" s="116">
        <f t="shared" si="4"/>
        <v>0</v>
      </c>
      <c r="E33" s="116">
        <f t="shared" si="4"/>
        <v>0</v>
      </c>
      <c r="F33" s="116">
        <f t="shared" si="4"/>
        <v>0</v>
      </c>
      <c r="G33" s="116">
        <f t="shared" si="4"/>
        <v>0</v>
      </c>
      <c r="H33" s="69">
        <f t="shared" si="2"/>
        <v>0</v>
      </c>
      <c r="I33" s="116">
        <f t="shared" si="5"/>
        <v>0</v>
      </c>
      <c r="J33" s="116">
        <f t="shared" si="5"/>
        <v>0</v>
      </c>
      <c r="K33" s="116">
        <f t="shared" si="5"/>
        <v>0</v>
      </c>
      <c r="L33" s="116">
        <f t="shared" si="5"/>
        <v>0</v>
      </c>
      <c r="M33" s="69">
        <f t="shared" si="3"/>
        <v>0</v>
      </c>
    </row>
    <row r="34" spans="1:13" ht="12.75" hidden="1" customHeight="1" outlineLevel="1" x14ac:dyDescent="0.2">
      <c r="A34" s="145" t="str">
        <f>"      "&amp;Labels!C169</f>
        <v xml:space="preserve">      Total</v>
      </c>
      <c r="B34" s="123">
        <f>SUM(B26,B30)</f>
        <v>0</v>
      </c>
      <c r="C34" s="70">
        <f>SUM(B26,B30)</f>
        <v>0</v>
      </c>
      <c r="D34" s="123">
        <f t="shared" si="4"/>
        <v>0</v>
      </c>
      <c r="E34" s="123">
        <f t="shared" si="4"/>
        <v>0</v>
      </c>
      <c r="F34" s="123">
        <f t="shared" si="4"/>
        <v>0</v>
      </c>
      <c r="G34" s="123">
        <f t="shared" si="4"/>
        <v>0</v>
      </c>
      <c r="H34" s="70">
        <f>SUM(D31:G31)</f>
        <v>0</v>
      </c>
      <c r="I34" s="123">
        <f t="shared" si="5"/>
        <v>0</v>
      </c>
      <c r="J34" s="123">
        <f t="shared" si="5"/>
        <v>0</v>
      </c>
      <c r="K34" s="123">
        <f t="shared" si="5"/>
        <v>0</v>
      </c>
      <c r="L34" s="123">
        <f t="shared" si="5"/>
        <v>0</v>
      </c>
      <c r="M34" s="70">
        <f>SUM(I31:L31)</f>
        <v>0</v>
      </c>
    </row>
    <row r="35" spans="1:13" ht="12.75" hidden="1" customHeight="1" outlineLevel="1" x14ac:dyDescent="0.2"/>
    <row r="36" spans="1:13" ht="12.75" hidden="1" customHeight="1" outlineLevel="1" collapsed="1" x14ac:dyDescent="0.2"/>
    <row r="37" spans="1:13" ht="12.75" customHeight="1" collapsed="1" x14ac:dyDescent="0.2">
      <c r="A37" s="272" t="str">
        <f>"Cash Flow - Working Capital"</f>
        <v>Cash Flow - Working Capital</v>
      </c>
      <c r="B37" s="272"/>
    </row>
    <row r="38" spans="1:13" ht="12.75" hidden="1" customHeight="1" outlineLevel="1" x14ac:dyDescent="0.2">
      <c r="A38" s="272" t="str">
        <f>""</f>
        <v/>
      </c>
      <c r="B38" s="272"/>
    </row>
    <row r="39" spans="1:13" ht="12.75" hidden="1" customHeight="1" outlineLevel="1" x14ac:dyDescent="0.2">
      <c r="B39" s="17" t="str">
        <f>'(FnCalls 1)'!G6</f>
        <v>Q4 2010</v>
      </c>
      <c r="C39" s="62" t="str">
        <f>'(FnCalls 1)'!H4</f>
        <v>2010</v>
      </c>
      <c r="D39" s="18" t="str">
        <f>'(FnCalls 1)'!G7</f>
        <v>Q1 2011</v>
      </c>
      <c r="E39" s="18" t="str">
        <f>'(FnCalls 1)'!G8</f>
        <v>Q2 2011</v>
      </c>
      <c r="F39" s="18" t="str">
        <f>'(FnCalls 1)'!G9</f>
        <v>Q3 2011</v>
      </c>
      <c r="G39" s="18" t="str">
        <f>'(FnCalls 1)'!G10</f>
        <v>Q4 2011</v>
      </c>
      <c r="H39" s="62" t="str">
        <f>'(FnCalls 1)'!H7</f>
        <v>2011</v>
      </c>
      <c r="I39" s="18" t="str">
        <f>'(FnCalls 1)'!G11</f>
        <v>Q1 2012</v>
      </c>
      <c r="J39" s="18" t="str">
        <f>'(FnCalls 1)'!G12</f>
        <v>Q2 2012</v>
      </c>
      <c r="K39" s="18" t="str">
        <f>'(FnCalls 1)'!G13</f>
        <v>Q3 2012</v>
      </c>
      <c r="L39" s="18" t="str">
        <f>'(FnCalls 1)'!G14</f>
        <v>Q4 2012</v>
      </c>
      <c r="M39" s="62" t="str">
        <f>'(FnCalls 1)'!H11</f>
        <v>2012</v>
      </c>
    </row>
    <row r="40" spans="1:13" ht="12.75" hidden="1" customHeight="1" outlineLevel="1" x14ac:dyDescent="0.2">
      <c r="A40" s="111" t="str">
        <f>Labels!B21</f>
        <v>Cash Flow - Working Cap</v>
      </c>
      <c r="B40" s="110"/>
      <c r="C40" s="75"/>
      <c r="D40" s="110"/>
      <c r="E40" s="110"/>
      <c r="F40" s="110"/>
      <c r="G40" s="110"/>
      <c r="H40" s="75"/>
      <c r="I40" s="110"/>
      <c r="J40" s="110"/>
      <c r="K40" s="110"/>
      <c r="L40" s="110"/>
      <c r="M40" s="75"/>
    </row>
    <row r="41" spans="1:13" ht="12.75" hidden="1" customHeight="1" outlineLevel="1" x14ac:dyDescent="0.2">
      <c r="A41" s="114" t="str">
        <f>"   "&amp;Labels!B190</f>
        <v xml:space="preserve">   Receivables</v>
      </c>
      <c r="B41" s="113">
        <f>'Equity Fin'!B119</f>
        <v>0</v>
      </c>
      <c r="C41" s="69">
        <f>'Equity Fin'!B119</f>
        <v>0</v>
      </c>
      <c r="D41" s="113">
        <f>'Equity Fin'!D119</f>
        <v>0</v>
      </c>
      <c r="E41" s="113">
        <f>'Equity Fin'!E119</f>
        <v>0</v>
      </c>
      <c r="F41" s="113">
        <f>'Equity Fin'!F119</f>
        <v>0</v>
      </c>
      <c r="G41" s="113">
        <f>'Equity Fin'!G119</f>
        <v>0</v>
      </c>
      <c r="H41" s="69">
        <f>SUM(D41:G41)</f>
        <v>0</v>
      </c>
      <c r="I41" s="113">
        <f>'Equity Fin'!I119</f>
        <v>0</v>
      </c>
      <c r="J41" s="113">
        <f>'Equity Fin'!J119</f>
        <v>0</v>
      </c>
      <c r="K41" s="113">
        <f>'Equity Fin'!K119</f>
        <v>0</v>
      </c>
      <c r="L41" s="113">
        <f>'Equity Fin'!L119</f>
        <v>0</v>
      </c>
      <c r="M41" s="69">
        <f>SUM(I41:L41)</f>
        <v>0</v>
      </c>
    </row>
    <row r="42" spans="1:13" ht="12.75" hidden="1" customHeight="1" outlineLevel="1" x14ac:dyDescent="0.2">
      <c r="A42" s="114" t="str">
        <f>"   "&amp;Labels!B191</f>
        <v xml:space="preserve">   Supplies inventory</v>
      </c>
      <c r="B42" s="113">
        <f>'Equity Fin'!B120</f>
        <v>0</v>
      </c>
      <c r="C42" s="69">
        <f>'Equity Fin'!B120</f>
        <v>0</v>
      </c>
      <c r="D42" s="113">
        <f>'Equity Fin'!D120</f>
        <v>0</v>
      </c>
      <c r="E42" s="113">
        <f>'Equity Fin'!E120</f>
        <v>0</v>
      </c>
      <c r="F42" s="113">
        <f>'Equity Fin'!F120</f>
        <v>0</v>
      </c>
      <c r="G42" s="113">
        <f>'Equity Fin'!G120</f>
        <v>0</v>
      </c>
      <c r="H42" s="69">
        <f>SUM(D42:G42)</f>
        <v>0</v>
      </c>
      <c r="I42" s="113">
        <f>'Equity Fin'!I120</f>
        <v>0</v>
      </c>
      <c r="J42" s="113">
        <f>'Equity Fin'!J120</f>
        <v>0</v>
      </c>
      <c r="K42" s="113">
        <f>'Equity Fin'!K120</f>
        <v>0</v>
      </c>
      <c r="L42" s="113">
        <f>'Equity Fin'!L120</f>
        <v>0</v>
      </c>
      <c r="M42" s="69">
        <f>SUM(I42:L42)</f>
        <v>0</v>
      </c>
    </row>
    <row r="43" spans="1:13" ht="12.75" hidden="1" customHeight="1" outlineLevel="1" x14ac:dyDescent="0.2">
      <c r="A43" s="117" t="str">
        <f>"   "&amp;Labels!C189</f>
        <v xml:space="preserve">   Total</v>
      </c>
      <c r="B43" s="120">
        <f>SUM(B41:B42)</f>
        <v>0</v>
      </c>
      <c r="C43" s="69">
        <f>SUM(B41:B42)</f>
        <v>0</v>
      </c>
      <c r="D43" s="120">
        <f>SUM(D41:D42)</f>
        <v>0</v>
      </c>
      <c r="E43" s="120">
        <f>SUM(E41:E42)</f>
        <v>0</v>
      </c>
      <c r="F43" s="120">
        <f>SUM(F41:F42)</f>
        <v>0</v>
      </c>
      <c r="G43" s="120">
        <f>SUM(G41:G42)</f>
        <v>0</v>
      </c>
      <c r="H43" s="69">
        <f>SUM(D43:G43)</f>
        <v>0</v>
      </c>
      <c r="I43" s="120">
        <f>SUM(I41:I42)</f>
        <v>0</v>
      </c>
      <c r="J43" s="120">
        <f>SUM(J41:J42)</f>
        <v>0</v>
      </c>
      <c r="K43" s="120">
        <f>SUM(K41:K42)</f>
        <v>0</v>
      </c>
      <c r="L43" s="120">
        <f>SUM(L41:L42)</f>
        <v>0</v>
      </c>
      <c r="M43" s="69">
        <f>SUM(I43:L43)</f>
        <v>0</v>
      </c>
    </row>
    <row r="44" spans="1:13" ht="12.75" hidden="1" customHeight="1" outlineLevel="1" x14ac:dyDescent="0.2">
      <c r="A44" s="12"/>
      <c r="B44" s="10"/>
      <c r="C44" s="12"/>
      <c r="D44" s="10"/>
      <c r="E44" s="10"/>
      <c r="F44" s="10"/>
      <c r="G44" s="10"/>
      <c r="H44" s="12"/>
      <c r="I44" s="10"/>
      <c r="J44" s="10"/>
      <c r="K44" s="10"/>
      <c r="L44" s="10"/>
      <c r="M44" s="12"/>
    </row>
    <row r="45" spans="1:13" ht="12.75" hidden="1" customHeight="1" outlineLevel="1" x14ac:dyDescent="0.2">
      <c r="A45" s="117" t="str">
        <f>Labels!B131</f>
        <v>Working Capital</v>
      </c>
      <c r="B45" s="120"/>
      <c r="C45" s="69"/>
      <c r="D45" s="120"/>
      <c r="E45" s="120"/>
      <c r="F45" s="120"/>
      <c r="G45" s="120"/>
      <c r="H45" s="69"/>
      <c r="I45" s="120"/>
      <c r="J45" s="120"/>
      <c r="K45" s="120"/>
      <c r="L45" s="120"/>
      <c r="M45" s="69"/>
    </row>
    <row r="46" spans="1:13" ht="12.75" hidden="1" customHeight="1" outlineLevel="1" x14ac:dyDescent="0.2">
      <c r="A46" s="114" t="str">
        <f>"   "&amp;Labels!B190</f>
        <v xml:space="preserve">   Receivables</v>
      </c>
      <c r="B46" s="113">
        <f>Investment!B71</f>
        <v>0</v>
      </c>
      <c r="C46" s="69">
        <f>Investment!B71</f>
        <v>0</v>
      </c>
      <c r="D46" s="113">
        <f>Investment!D71</f>
        <v>0</v>
      </c>
      <c r="E46" s="113">
        <f>Investment!E71</f>
        <v>0</v>
      </c>
      <c r="F46" s="113">
        <f>Investment!F71</f>
        <v>0</v>
      </c>
      <c r="G46" s="113">
        <f>Investment!G71</f>
        <v>0</v>
      </c>
      <c r="H46" s="69">
        <f>Investment!G71</f>
        <v>0</v>
      </c>
      <c r="I46" s="113">
        <f>Investment!I71</f>
        <v>0</v>
      </c>
      <c r="J46" s="113">
        <f>Investment!J71</f>
        <v>0</v>
      </c>
      <c r="K46" s="113">
        <f>Investment!K71</f>
        <v>0</v>
      </c>
      <c r="L46" s="113">
        <f>Investment!L71</f>
        <v>0</v>
      </c>
      <c r="M46" s="69">
        <f>Investment!L71</f>
        <v>0</v>
      </c>
    </row>
    <row r="47" spans="1:13" ht="12.75" hidden="1" customHeight="1" outlineLevel="1" x14ac:dyDescent="0.2">
      <c r="A47" s="114" t="str">
        <f>"   "&amp;Labels!B191</f>
        <v xml:space="preserve">   Supplies inventory</v>
      </c>
      <c r="B47" s="113">
        <f>Investment!B72</f>
        <v>0</v>
      </c>
      <c r="C47" s="69">
        <f>Investment!B72</f>
        <v>0</v>
      </c>
      <c r="D47" s="113">
        <f>Investment!D72</f>
        <v>0</v>
      </c>
      <c r="E47" s="113">
        <f>Investment!E72</f>
        <v>0</v>
      </c>
      <c r="F47" s="113">
        <f>Investment!F72</f>
        <v>0</v>
      </c>
      <c r="G47" s="113">
        <f>Investment!G72</f>
        <v>0</v>
      </c>
      <c r="H47" s="69">
        <f>Investment!G72</f>
        <v>0</v>
      </c>
      <c r="I47" s="113">
        <f>Investment!I72</f>
        <v>0</v>
      </c>
      <c r="J47" s="113">
        <f>Investment!J72</f>
        <v>0</v>
      </c>
      <c r="K47" s="113">
        <f>Investment!K72</f>
        <v>0</v>
      </c>
      <c r="L47" s="113">
        <f>Investment!L72</f>
        <v>0</v>
      </c>
      <c r="M47" s="69">
        <f>Investment!L72</f>
        <v>0</v>
      </c>
    </row>
    <row r="48" spans="1:13" ht="12.75" hidden="1" customHeight="1" outlineLevel="1" x14ac:dyDescent="0.2">
      <c r="A48" s="121" t="str">
        <f>"   "&amp;Labels!C189</f>
        <v xml:space="preserve">   Total</v>
      </c>
      <c r="B48" s="132">
        <f>SUM(B46:B47)</f>
        <v>0</v>
      </c>
      <c r="C48" s="70">
        <f>SUM(B46:B47)</f>
        <v>0</v>
      </c>
      <c r="D48" s="132">
        <f>SUM(D46:D47)</f>
        <v>0</v>
      </c>
      <c r="E48" s="132">
        <f>SUM(E46:E47)</f>
        <v>0</v>
      </c>
      <c r="F48" s="132">
        <f>SUM(F46:F47)</f>
        <v>0</v>
      </c>
      <c r="G48" s="132">
        <f>SUM(G46:G47)</f>
        <v>0</v>
      </c>
      <c r="H48" s="70">
        <f>SUM(G46:G47)</f>
        <v>0</v>
      </c>
      <c r="I48" s="132">
        <f>SUM(I46:I47)</f>
        <v>0</v>
      </c>
      <c r="J48" s="132">
        <f>SUM(J46:J47)</f>
        <v>0</v>
      </c>
      <c r="K48" s="132">
        <f>SUM(K46:K47)</f>
        <v>0</v>
      </c>
      <c r="L48" s="132">
        <f>SUM(L46:L47)</f>
        <v>0</v>
      </c>
      <c r="M48" s="70">
        <f>SUM(L46:L47)</f>
        <v>0</v>
      </c>
    </row>
    <row r="49" spans="1:13" ht="12.75" hidden="1" customHeight="1" outlineLevel="1" x14ac:dyDescent="0.2"/>
    <row r="50" spans="1:13" ht="12.75" hidden="1" customHeight="1" outlineLevel="1" collapsed="1" x14ac:dyDescent="0.2"/>
    <row r="51" spans="1:13" ht="12.75" customHeight="1" collapsed="1" x14ac:dyDescent="0.2"/>
    <row r="53" spans="1:13" ht="12.75" customHeight="1" x14ac:dyDescent="0.2">
      <c r="A53" s="2" t="str">
        <f>"Valuation"</f>
        <v>Valuation</v>
      </c>
    </row>
    <row r="54" spans="1:13" ht="12.75" hidden="1" customHeight="1" outlineLevel="1" x14ac:dyDescent="0.2">
      <c r="A54" s="2" t="str">
        <f>""</f>
        <v/>
      </c>
    </row>
    <row r="55" spans="1:13" ht="12.75" hidden="1" customHeight="1" outlineLevel="1" x14ac:dyDescent="0.2">
      <c r="B55" s="17" t="str">
        <f>'(FnCalls 1)'!G6</f>
        <v>Q4 2010</v>
      </c>
      <c r="C55" s="62" t="str">
        <f>'(FnCalls 1)'!H4</f>
        <v>2010</v>
      </c>
      <c r="D55" s="18" t="str">
        <f>'(FnCalls 1)'!G7</f>
        <v>Q1 2011</v>
      </c>
      <c r="E55" s="18" t="str">
        <f>'(FnCalls 1)'!G8</f>
        <v>Q2 2011</v>
      </c>
      <c r="F55" s="18" t="str">
        <f>'(FnCalls 1)'!G9</f>
        <v>Q3 2011</v>
      </c>
      <c r="G55" s="18" t="str">
        <f>'(FnCalls 1)'!G10</f>
        <v>Q4 2011</v>
      </c>
      <c r="H55" s="62" t="str">
        <f>'(FnCalls 1)'!H7</f>
        <v>2011</v>
      </c>
      <c r="I55" s="18" t="str">
        <f>'(FnCalls 1)'!G11</f>
        <v>Q1 2012</v>
      </c>
      <c r="J55" s="18" t="str">
        <f>'(FnCalls 1)'!G12</f>
        <v>Q2 2012</v>
      </c>
      <c r="K55" s="18" t="str">
        <f>'(FnCalls 1)'!G13</f>
        <v>Q3 2012</v>
      </c>
      <c r="L55" s="18" t="str">
        <f>'(FnCalls 1)'!G14</f>
        <v>Q4 2012</v>
      </c>
      <c r="M55" s="62" t="str">
        <f>'(FnCalls 1)'!H11</f>
        <v>2012</v>
      </c>
    </row>
    <row r="56" spans="1:13" ht="12.75" hidden="1" customHeight="1" outlineLevel="1" x14ac:dyDescent="0.2">
      <c r="A56" s="111" t="str">
        <f>Labels!B123</f>
        <v>Valuation</v>
      </c>
      <c r="B56" s="110">
        <f>'EqF Subproject 1'!B55</f>
        <v>0</v>
      </c>
      <c r="C56" s="75">
        <f>'EqF Subproject 1'!B55</f>
        <v>0</v>
      </c>
      <c r="D56" s="110">
        <f>'EqF Subproject 1'!D55</f>
        <v>0</v>
      </c>
      <c r="E56" s="110">
        <f>'EqF Subproject 1'!E55</f>
        <v>0</v>
      </c>
      <c r="F56" s="110">
        <f>'EqF Subproject 1'!F55</f>
        <v>0</v>
      </c>
      <c r="G56" s="110">
        <f>'EqF Subproject 1'!G55</f>
        <v>0</v>
      </c>
      <c r="H56" s="75">
        <f>'EqF Subproject 1'!G55</f>
        <v>0</v>
      </c>
      <c r="I56" s="110">
        <f>'EqF Subproject 1'!I55</f>
        <v>0</v>
      </c>
      <c r="J56" s="110">
        <f>'EqF Subproject 1'!J55</f>
        <v>0</v>
      </c>
      <c r="K56" s="110">
        <f>'EqF Subproject 1'!K55</f>
        <v>0</v>
      </c>
      <c r="L56" s="110">
        <f>'EqF Subproject 1'!L55</f>
        <v>0</v>
      </c>
      <c r="M56" s="75">
        <f>'EqF Subproject 1'!L55</f>
        <v>0</v>
      </c>
    </row>
    <row r="57" spans="1:13" ht="12.75" hidden="1" customHeight="1" outlineLevel="1" x14ac:dyDescent="0.2">
      <c r="A57" s="12"/>
      <c r="B57" s="10"/>
      <c r="C57" s="12"/>
      <c r="D57" s="10"/>
      <c r="E57" s="10"/>
      <c r="F57" s="10"/>
      <c r="G57" s="10"/>
      <c r="H57" s="12"/>
      <c r="I57" s="10"/>
      <c r="J57" s="10"/>
      <c r="K57" s="10"/>
      <c r="L57" s="10"/>
      <c r="M57" s="12"/>
    </row>
    <row r="58" spans="1:13" ht="12.75" hidden="1" customHeight="1" outlineLevel="1" x14ac:dyDescent="0.2">
      <c r="B58" s="17" t="str">
        <f>Labels!B135</f>
        <v>EBITDA</v>
      </c>
      <c r="C58" s="18" t="str">
        <f>Labels!B136</f>
        <v>Fixed Invest</v>
      </c>
      <c r="D58" s="18" t="str">
        <f>Labels!B137</f>
        <v>Inv Tax Credit</v>
      </c>
      <c r="E58" s="18" t="str">
        <f>Labels!B138</f>
        <v>Working Cap</v>
      </c>
      <c r="F58" s="18" t="str">
        <f>Labels!B139</f>
        <v>Debt Principal</v>
      </c>
      <c r="G58" s="18" t="str">
        <f>Labels!B140</f>
        <v>Interest Pay</v>
      </c>
      <c r="H58" s="18" t="str">
        <f>Labels!B141</f>
        <v>Lease Pay</v>
      </c>
      <c r="I58" s="18" t="str">
        <f>Labels!B142</f>
        <v>Income Tax</v>
      </c>
      <c r="J58" s="62" t="str">
        <f>Labels!C134</f>
        <v>Total</v>
      </c>
    </row>
    <row r="59" spans="1:13" ht="12.75" hidden="1" customHeight="1" outlineLevel="1" x14ac:dyDescent="0.2">
      <c r="A59" s="111" t="str">
        <f>Labels!B92</f>
        <v>NPV</v>
      </c>
      <c r="B59" s="110">
        <f>'Blended Fin'!B213</f>
        <v>0</v>
      </c>
      <c r="C59" s="110">
        <f>'Blended Fin'!C213</f>
        <v>0</v>
      </c>
      <c r="D59" s="110">
        <f>'Blended Fin'!D213</f>
        <v>0</v>
      </c>
      <c r="E59" s="110">
        <f>'Blended Fin'!E213</f>
        <v>0</v>
      </c>
      <c r="F59" s="110">
        <f>'Blended Fin'!F213</f>
        <v>0</v>
      </c>
      <c r="G59" s="110">
        <f>'Blended Fin'!G213</f>
        <v>0</v>
      </c>
      <c r="H59" s="110">
        <f>'Blended Fin'!H213</f>
        <v>0</v>
      </c>
      <c r="I59" s="110">
        <f>'Blended Fin'!I213</f>
        <v>0</v>
      </c>
      <c r="J59" s="75">
        <f>SUM(B59:I59)</f>
        <v>0</v>
      </c>
    </row>
    <row r="60" spans="1:13" ht="12.75" hidden="1" customHeight="1" outlineLevel="1" x14ac:dyDescent="0.2">
      <c r="A60" s="12"/>
      <c r="B60" s="10"/>
      <c r="C60" s="10"/>
      <c r="D60" s="10"/>
      <c r="E60" s="10"/>
      <c r="F60" s="10"/>
      <c r="G60" s="10"/>
      <c r="H60" s="10"/>
      <c r="I60" s="10"/>
      <c r="J60" s="12"/>
    </row>
    <row r="61" spans="1:13" ht="12.75" hidden="1" customHeight="1" outlineLevel="1" x14ac:dyDescent="0.2">
      <c r="A61" s="12" t="str">
        <f>Labels!B118</f>
        <v>Tail NPV</v>
      </c>
      <c r="B61" s="108">
        <f>'Blended Fin'!B218</f>
        <v>0</v>
      </c>
    </row>
    <row r="62" spans="1:13" ht="12.75" hidden="1" customHeight="1" outlineLevel="1" x14ac:dyDescent="0.2"/>
    <row r="63" spans="1:13" ht="12.75" hidden="1" customHeight="1" outlineLevel="1" x14ac:dyDescent="0.2">
      <c r="A63" s="3" t="str">
        <f>"Discounted Cash Flow"</f>
        <v>Discounted Cash Flow</v>
      </c>
    </row>
    <row r="64" spans="1:13" ht="12.75" hidden="1" customHeight="1" outlineLevel="2" x14ac:dyDescent="0.2">
      <c r="A64" s="3" t="str">
        <f>" "</f>
        <v xml:space="preserve"> </v>
      </c>
    </row>
    <row r="65" spans="1:13" ht="12.75" hidden="1" customHeight="1" outlineLevel="2" x14ac:dyDescent="0.2">
      <c r="B65" s="17" t="str">
        <f>'(FnCalls 1)'!G6</f>
        <v>Q4 2010</v>
      </c>
      <c r="C65" s="62" t="str">
        <f>'(FnCalls 1)'!H4</f>
        <v>2010</v>
      </c>
      <c r="D65" s="18" t="str">
        <f>'(FnCalls 1)'!G7</f>
        <v>Q1 2011</v>
      </c>
      <c r="E65" s="18" t="str">
        <f>'(FnCalls 1)'!G8</f>
        <v>Q2 2011</v>
      </c>
      <c r="F65" s="18" t="str">
        <f>'(FnCalls 1)'!G9</f>
        <v>Q3 2011</v>
      </c>
      <c r="G65" s="18" t="str">
        <f>'(FnCalls 1)'!G10</f>
        <v>Q4 2011</v>
      </c>
      <c r="H65" s="62" t="str">
        <f>'(FnCalls 1)'!H7</f>
        <v>2011</v>
      </c>
      <c r="I65" s="18" t="str">
        <f>'(FnCalls 1)'!G11</f>
        <v>Q1 2012</v>
      </c>
      <c r="J65" s="18" t="str">
        <f>'(FnCalls 1)'!G12</f>
        <v>Q2 2012</v>
      </c>
      <c r="K65" s="18" t="str">
        <f>'(FnCalls 1)'!G13</f>
        <v>Q3 2012</v>
      </c>
      <c r="L65" s="18" t="str">
        <f>'(FnCalls 1)'!G14</f>
        <v>Q4 2012</v>
      </c>
      <c r="M65" s="62" t="str">
        <f>'(FnCalls 1)'!H11</f>
        <v>2012</v>
      </c>
    </row>
    <row r="66" spans="1:13" ht="12.75" hidden="1" customHeight="1" outlineLevel="2" x14ac:dyDescent="0.2">
      <c r="A66" s="111" t="str">
        <f>Labels!B25</f>
        <v>Discounted Cash Flow</v>
      </c>
      <c r="B66" s="110"/>
      <c r="C66" s="75"/>
      <c r="D66" s="110"/>
      <c r="E66" s="110"/>
      <c r="F66" s="110"/>
      <c r="G66" s="110"/>
      <c r="H66" s="75"/>
      <c r="I66" s="110"/>
      <c r="J66" s="110"/>
      <c r="K66" s="110"/>
      <c r="L66" s="110"/>
      <c r="M66" s="75"/>
    </row>
    <row r="67" spans="1:13" ht="12.75" hidden="1" customHeight="1" outlineLevel="2" x14ac:dyDescent="0.2">
      <c r="A67" s="114" t="str">
        <f>"   "&amp;Labels!B135</f>
        <v xml:space="preserve">   EBITDA</v>
      </c>
      <c r="B67" s="113">
        <f>'Blended Fin'!B167</f>
        <v>0</v>
      </c>
      <c r="C67" s="69">
        <f>'Blended Fin'!B167</f>
        <v>0</v>
      </c>
      <c r="D67" s="113">
        <f>'Blended Fin'!D167</f>
        <v>0</v>
      </c>
      <c r="E67" s="113">
        <f>'Blended Fin'!E167</f>
        <v>0</v>
      </c>
      <c r="F67" s="113">
        <f>'Blended Fin'!F167</f>
        <v>0</v>
      </c>
      <c r="G67" s="113">
        <f>'Blended Fin'!G167</f>
        <v>0</v>
      </c>
      <c r="H67" s="69">
        <f t="shared" ref="H67:H75" si="6">SUM(D67:G67)</f>
        <v>0</v>
      </c>
      <c r="I67" s="113">
        <f>'Blended Fin'!I167</f>
        <v>0</v>
      </c>
      <c r="J67" s="113">
        <f>'Blended Fin'!J167</f>
        <v>0</v>
      </c>
      <c r="K67" s="113">
        <f>'Blended Fin'!K167</f>
        <v>0</v>
      </c>
      <c r="L67" s="113">
        <f>'Blended Fin'!L167</f>
        <v>0</v>
      </c>
      <c r="M67" s="69">
        <f t="shared" ref="M67:M75" si="7">SUM(I67:L67)</f>
        <v>0</v>
      </c>
    </row>
    <row r="68" spans="1:13" ht="12.75" hidden="1" customHeight="1" outlineLevel="2" x14ac:dyDescent="0.2">
      <c r="A68" s="114" t="str">
        <f>"   "&amp;Labels!B136</f>
        <v xml:space="preserve">   Fixed Invest</v>
      </c>
      <c r="B68" s="113">
        <f>'Blended Fin'!B171</f>
        <v>0</v>
      </c>
      <c r="C68" s="69">
        <f>'Blended Fin'!B171</f>
        <v>0</v>
      </c>
      <c r="D68" s="113">
        <f>'Blended Fin'!D171</f>
        <v>0</v>
      </c>
      <c r="E68" s="113">
        <f>'Blended Fin'!E171</f>
        <v>0</v>
      </c>
      <c r="F68" s="113">
        <f>'Blended Fin'!F171</f>
        <v>0</v>
      </c>
      <c r="G68" s="113">
        <f>'Blended Fin'!G171</f>
        <v>0</v>
      </c>
      <c r="H68" s="69">
        <f t="shared" si="6"/>
        <v>0</v>
      </c>
      <c r="I68" s="113">
        <f>'Blended Fin'!I171</f>
        <v>0</v>
      </c>
      <c r="J68" s="113">
        <f>'Blended Fin'!J171</f>
        <v>0</v>
      </c>
      <c r="K68" s="113">
        <f>'Blended Fin'!K171</f>
        <v>0</v>
      </c>
      <c r="L68" s="113">
        <f>'Blended Fin'!L171</f>
        <v>0</v>
      </c>
      <c r="M68" s="69">
        <f t="shared" si="7"/>
        <v>0</v>
      </c>
    </row>
    <row r="69" spans="1:13" ht="12.75" hidden="1" customHeight="1" outlineLevel="2" x14ac:dyDescent="0.2">
      <c r="A69" s="114" t="str">
        <f>"   "&amp;Labels!B137</f>
        <v xml:space="preserve">   Inv Tax Credit</v>
      </c>
      <c r="B69" s="113">
        <f>'Blended Fin'!B175</f>
        <v>0</v>
      </c>
      <c r="C69" s="69">
        <f>'Blended Fin'!B175</f>
        <v>0</v>
      </c>
      <c r="D69" s="113">
        <f>'Blended Fin'!D175</f>
        <v>0</v>
      </c>
      <c r="E69" s="113">
        <f>'Blended Fin'!E175</f>
        <v>0</v>
      </c>
      <c r="F69" s="113">
        <f>'Blended Fin'!F175</f>
        <v>0</v>
      </c>
      <c r="G69" s="113">
        <f>'Blended Fin'!G175</f>
        <v>0</v>
      </c>
      <c r="H69" s="69">
        <f t="shared" si="6"/>
        <v>0</v>
      </c>
      <c r="I69" s="113">
        <f>'Blended Fin'!I175</f>
        <v>0</v>
      </c>
      <c r="J69" s="113">
        <f>'Blended Fin'!J175</f>
        <v>0</v>
      </c>
      <c r="K69" s="113">
        <f>'Blended Fin'!K175</f>
        <v>0</v>
      </c>
      <c r="L69" s="113">
        <f>'Blended Fin'!L175</f>
        <v>0</v>
      </c>
      <c r="M69" s="69">
        <f t="shared" si="7"/>
        <v>0</v>
      </c>
    </row>
    <row r="70" spans="1:13" ht="12.75" hidden="1" customHeight="1" outlineLevel="2" x14ac:dyDescent="0.2">
      <c r="A70" s="114" t="str">
        <f>"   "&amp;Labels!B138</f>
        <v xml:space="preserve">   Working Cap</v>
      </c>
      <c r="B70" s="113">
        <f>'Blended Fin'!B179</f>
        <v>0</v>
      </c>
      <c r="C70" s="69">
        <f>'Blended Fin'!B179</f>
        <v>0</v>
      </c>
      <c r="D70" s="113">
        <f>'Blended Fin'!D179</f>
        <v>0</v>
      </c>
      <c r="E70" s="113">
        <f>'Blended Fin'!E179</f>
        <v>0</v>
      </c>
      <c r="F70" s="113">
        <f>'Blended Fin'!F179</f>
        <v>0</v>
      </c>
      <c r="G70" s="113">
        <f>'Blended Fin'!G179</f>
        <v>0</v>
      </c>
      <c r="H70" s="69">
        <f t="shared" si="6"/>
        <v>0</v>
      </c>
      <c r="I70" s="113">
        <f>'Blended Fin'!I179</f>
        <v>0</v>
      </c>
      <c r="J70" s="113">
        <f>'Blended Fin'!J179</f>
        <v>0</v>
      </c>
      <c r="K70" s="113">
        <f>'Blended Fin'!K179</f>
        <v>0</v>
      </c>
      <c r="L70" s="113">
        <f>'Blended Fin'!L179</f>
        <v>0</v>
      </c>
      <c r="M70" s="69">
        <f t="shared" si="7"/>
        <v>0</v>
      </c>
    </row>
    <row r="71" spans="1:13" ht="12.75" hidden="1" customHeight="1" outlineLevel="2" x14ac:dyDescent="0.2">
      <c r="A71" s="114" t="str">
        <f>"   "&amp;Labels!B139</f>
        <v xml:space="preserve">   Debt Principal</v>
      </c>
      <c r="B71" s="113">
        <f>'Blended Fin'!B183</f>
        <v>0</v>
      </c>
      <c r="C71" s="69">
        <f>'Blended Fin'!B183</f>
        <v>0</v>
      </c>
      <c r="D71" s="113">
        <f>'Blended Fin'!D183</f>
        <v>0</v>
      </c>
      <c r="E71" s="113">
        <f>'Blended Fin'!E183</f>
        <v>0</v>
      </c>
      <c r="F71" s="113">
        <f>'Blended Fin'!F183</f>
        <v>0</v>
      </c>
      <c r="G71" s="113">
        <f>'Blended Fin'!G183</f>
        <v>0</v>
      </c>
      <c r="H71" s="69">
        <f t="shared" si="6"/>
        <v>0</v>
      </c>
      <c r="I71" s="113">
        <f>'Blended Fin'!I183</f>
        <v>0</v>
      </c>
      <c r="J71" s="113">
        <f>'Blended Fin'!J183</f>
        <v>0</v>
      </c>
      <c r="K71" s="113">
        <f>'Blended Fin'!K183</f>
        <v>0</v>
      </c>
      <c r="L71" s="113">
        <f>'Blended Fin'!L183</f>
        <v>0</v>
      </c>
      <c r="M71" s="69">
        <f t="shared" si="7"/>
        <v>0</v>
      </c>
    </row>
    <row r="72" spans="1:13" ht="12.75" hidden="1" customHeight="1" outlineLevel="2" x14ac:dyDescent="0.2">
      <c r="A72" s="114" t="str">
        <f>"   "&amp;Labels!B140</f>
        <v xml:space="preserve">   Interest Pay</v>
      </c>
      <c r="B72" s="113">
        <f>'Blended Fin'!B187</f>
        <v>0</v>
      </c>
      <c r="C72" s="69">
        <f>'Blended Fin'!B187</f>
        <v>0</v>
      </c>
      <c r="D72" s="113">
        <f>'Blended Fin'!D187</f>
        <v>0</v>
      </c>
      <c r="E72" s="113">
        <f>'Blended Fin'!E187</f>
        <v>0</v>
      </c>
      <c r="F72" s="113">
        <f>'Blended Fin'!F187</f>
        <v>0</v>
      </c>
      <c r="G72" s="113">
        <f>'Blended Fin'!G187</f>
        <v>0</v>
      </c>
      <c r="H72" s="69">
        <f t="shared" si="6"/>
        <v>0</v>
      </c>
      <c r="I72" s="113">
        <f>'Blended Fin'!I187</f>
        <v>0</v>
      </c>
      <c r="J72" s="113">
        <f>'Blended Fin'!J187</f>
        <v>0</v>
      </c>
      <c r="K72" s="113">
        <f>'Blended Fin'!K187</f>
        <v>0</v>
      </c>
      <c r="L72" s="113">
        <f>'Blended Fin'!L187</f>
        <v>0</v>
      </c>
      <c r="M72" s="69">
        <f t="shared" si="7"/>
        <v>0</v>
      </c>
    </row>
    <row r="73" spans="1:13" ht="12.75" hidden="1" customHeight="1" outlineLevel="2" x14ac:dyDescent="0.2">
      <c r="A73" s="114" t="str">
        <f>"   "&amp;Labels!B141</f>
        <v xml:space="preserve">   Lease Pay</v>
      </c>
      <c r="B73" s="113">
        <f>'Blended Fin'!B191</f>
        <v>0</v>
      </c>
      <c r="C73" s="69">
        <f>'Blended Fin'!B191</f>
        <v>0</v>
      </c>
      <c r="D73" s="113">
        <f>'Blended Fin'!D191</f>
        <v>0</v>
      </c>
      <c r="E73" s="113">
        <f>'Blended Fin'!E191</f>
        <v>0</v>
      </c>
      <c r="F73" s="113">
        <f>'Blended Fin'!F191</f>
        <v>0</v>
      </c>
      <c r="G73" s="113">
        <f>'Blended Fin'!G191</f>
        <v>0</v>
      </c>
      <c r="H73" s="69">
        <f t="shared" si="6"/>
        <v>0</v>
      </c>
      <c r="I73" s="113">
        <f>'Blended Fin'!I191</f>
        <v>0</v>
      </c>
      <c r="J73" s="113">
        <f>'Blended Fin'!J191</f>
        <v>0</v>
      </c>
      <c r="K73" s="113">
        <f>'Blended Fin'!K191</f>
        <v>0</v>
      </c>
      <c r="L73" s="113">
        <f>'Blended Fin'!L191</f>
        <v>0</v>
      </c>
      <c r="M73" s="69">
        <f t="shared" si="7"/>
        <v>0</v>
      </c>
    </row>
    <row r="74" spans="1:13" ht="12.75" hidden="1" customHeight="1" outlineLevel="2" x14ac:dyDescent="0.2">
      <c r="A74" s="114" t="str">
        <f>"   "&amp;Labels!B142</f>
        <v xml:space="preserve">   Income Tax</v>
      </c>
      <c r="B74" s="113">
        <f>'Blended Fin'!B195</f>
        <v>0</v>
      </c>
      <c r="C74" s="69">
        <f>'Blended Fin'!B195</f>
        <v>0</v>
      </c>
      <c r="D74" s="113">
        <f>'Blended Fin'!D195</f>
        <v>0</v>
      </c>
      <c r="E74" s="113">
        <f>'Blended Fin'!E195</f>
        <v>0</v>
      </c>
      <c r="F74" s="113">
        <f>'Blended Fin'!F195</f>
        <v>0</v>
      </c>
      <c r="G74" s="113">
        <f>'Blended Fin'!G195</f>
        <v>0</v>
      </c>
      <c r="H74" s="69">
        <f t="shared" si="6"/>
        <v>0</v>
      </c>
      <c r="I74" s="113">
        <f>'Blended Fin'!I195</f>
        <v>0</v>
      </c>
      <c r="J74" s="113">
        <f>'Blended Fin'!J195</f>
        <v>0</v>
      </c>
      <c r="K74" s="113">
        <f>'Blended Fin'!K195</f>
        <v>0</v>
      </c>
      <c r="L74" s="113">
        <f>'Blended Fin'!L195</f>
        <v>0</v>
      </c>
      <c r="M74" s="69">
        <f t="shared" si="7"/>
        <v>0</v>
      </c>
    </row>
    <row r="75" spans="1:13" ht="12.75" hidden="1" customHeight="1" outlineLevel="2" x14ac:dyDescent="0.2">
      <c r="A75" s="121" t="str">
        <f>"   "&amp;Labels!C134</f>
        <v xml:space="preserve">   Total</v>
      </c>
      <c r="B75" s="132">
        <f>SUM(B67:B74)</f>
        <v>0</v>
      </c>
      <c r="C75" s="70">
        <f>SUM(B67:B74)</f>
        <v>0</v>
      </c>
      <c r="D75" s="132">
        <f>SUM(D67:D74)</f>
        <v>0</v>
      </c>
      <c r="E75" s="132">
        <f>SUM(E67:E74)</f>
        <v>0</v>
      </c>
      <c r="F75" s="132">
        <f>SUM(F67:F74)</f>
        <v>0</v>
      </c>
      <c r="G75" s="132">
        <f>SUM(G67:G74)</f>
        <v>0</v>
      </c>
      <c r="H75" s="70">
        <f t="shared" si="6"/>
        <v>0</v>
      </c>
      <c r="I75" s="132">
        <f>SUM(I67:I74)</f>
        <v>0</v>
      </c>
      <c r="J75" s="132">
        <f>SUM(J67:J74)</f>
        <v>0</v>
      </c>
      <c r="K75" s="132">
        <f>SUM(K67:K74)</f>
        <v>0</v>
      </c>
      <c r="L75" s="132">
        <f>SUM(L67:L74)</f>
        <v>0</v>
      </c>
      <c r="M75" s="70">
        <f t="shared" si="7"/>
        <v>0</v>
      </c>
    </row>
    <row r="76" spans="1:13" ht="12.75" hidden="1" customHeight="1" outlineLevel="2" collapsed="1" x14ac:dyDescent="0.2"/>
    <row r="77" spans="1:13" ht="12.75" hidden="1" customHeight="1" outlineLevel="1" collapsed="1" x14ac:dyDescent="0.2">
      <c r="A77" s="3" t="str">
        <f>"Discount Rate"</f>
        <v>Discount Rate</v>
      </c>
    </row>
    <row r="78" spans="1:13" ht="12.75" hidden="1" customHeight="1" outlineLevel="1" x14ac:dyDescent="0.2">
      <c r="A78" s="3" t="str">
        <f>""</f>
        <v/>
      </c>
    </row>
    <row r="79" spans="1:13" ht="12.75" hidden="1" customHeight="1" outlineLevel="1" x14ac:dyDescent="0.2">
      <c r="A79" s="12" t="str">
        <f>Labels!B40</f>
        <v>Discount Method (Direct or CAPM)</v>
      </c>
      <c r="B79" s="167" t="str">
        <f>Inputs!E116</f>
        <v>Direct</v>
      </c>
    </row>
    <row r="80" spans="1:13" ht="12.75" hidden="1" customHeight="1" outlineLevel="1" x14ac:dyDescent="0.2">
      <c r="B80" s="17" t="str">
        <f>'(FnCalls 1)'!G6</f>
        <v>Q4 2010</v>
      </c>
      <c r="C80" s="62" t="str">
        <f>'(FnCalls 1)'!H4</f>
        <v>2010</v>
      </c>
      <c r="D80" s="18" t="str">
        <f>'(FnCalls 1)'!G7</f>
        <v>Q1 2011</v>
      </c>
      <c r="E80" s="18" t="str">
        <f>'(FnCalls 1)'!G8</f>
        <v>Q2 2011</v>
      </c>
      <c r="F80" s="18" t="str">
        <f>'(FnCalls 1)'!G9</f>
        <v>Q3 2011</v>
      </c>
      <c r="G80" s="18" t="str">
        <f>'(FnCalls 1)'!G10</f>
        <v>Q4 2011</v>
      </c>
      <c r="H80" s="62" t="str">
        <f>'(FnCalls 1)'!H7</f>
        <v>2011</v>
      </c>
      <c r="I80" s="18" t="str">
        <f>'(FnCalls 1)'!G11</f>
        <v>Q1 2012</v>
      </c>
      <c r="J80" s="18" t="str">
        <f>'(FnCalls 1)'!G12</f>
        <v>Q2 2012</v>
      </c>
      <c r="K80" s="18" t="str">
        <f>'(FnCalls 1)'!G13</f>
        <v>Q3 2012</v>
      </c>
      <c r="L80" s="18" t="str">
        <f>'(FnCalls 1)'!G14</f>
        <v>Q4 2012</v>
      </c>
      <c r="M80" s="62" t="str">
        <f>'(FnCalls 1)'!H11</f>
        <v>2012</v>
      </c>
    </row>
    <row r="81" spans="1:13" ht="12.75" hidden="1" customHeight="1" outlineLevel="1" x14ac:dyDescent="0.2">
      <c r="A81" s="12" t="str">
        <f>Labels!B42</f>
        <v>Discount Rate (Yr)</v>
      </c>
      <c r="B81" s="168">
        <f>'Equity Fin'!B212</f>
        <v>0.15</v>
      </c>
      <c r="C81" s="83">
        <f>IF(B79="Direct",Inputs!E121,IF(B79="CAPM",Inputs!E130*1+Inputs!E130*(-Investment!B103)+Inputs!E126*0.055*1+Inputs!E126*0.055*(-Investment!B103)+'Equity Fin'!B229*Investment!B103*1+'Equity Fin'!B229*Investment!B103*(-Inputs!E108),0))</f>
        <v>0.15</v>
      </c>
      <c r="D81" s="168">
        <f>'Equity Fin'!D212</f>
        <v>0.15</v>
      </c>
      <c r="E81" s="168">
        <f>'Equity Fin'!E212</f>
        <v>0.15</v>
      </c>
      <c r="F81" s="168">
        <f>'Equity Fin'!F212</f>
        <v>0.15</v>
      </c>
      <c r="G81" s="168">
        <f>'Equity Fin'!G212</f>
        <v>0.15</v>
      </c>
      <c r="H81" s="83">
        <f>IF(B79="Direct",AVERAGE(Inputs!G121:J121),IF(B79="CAPM",AVERAGE(Inputs!G130:J130)*1+AVERAGE(Inputs!G130:J130)*(-Investment!B103)+Inputs!E126*0.055*1+Inputs!E126*0.055*(-Investment!B103)+AVERAGE('Equity Fin'!D229:G229)*Investment!B103*1+AVERAGE('Equity Fin'!D229:G229)*Investment!B103*(-Inputs!J108),0))</f>
        <v>0.15</v>
      </c>
      <c r="I81" s="168">
        <f>'Equity Fin'!I212</f>
        <v>0.15</v>
      </c>
      <c r="J81" s="168">
        <f>'Equity Fin'!J212</f>
        <v>0.15</v>
      </c>
      <c r="K81" s="168">
        <f>'Equity Fin'!K212</f>
        <v>0.15</v>
      </c>
      <c r="L81" s="168">
        <f>'Equity Fin'!L212</f>
        <v>0.15</v>
      </c>
      <c r="M81" s="83">
        <f>IF(B79="Direct",AVERAGE(Inputs!L121:O121),IF(B79="CAPM",AVERAGE(Inputs!L130:O130)*1+AVERAGE(Inputs!L130:O130)*(-Investment!B103)+Inputs!E126*0.055*1+Inputs!E126*0.055*(-Investment!B103)+AVERAGE('Equity Fin'!I229:L229)*Investment!B103*1+AVERAGE('Equity Fin'!I229:L229)*Investment!B103*(-Inputs!O108),0))</f>
        <v>0.15</v>
      </c>
    </row>
    <row r="82" spans="1:13" ht="12.75" hidden="1" customHeight="1" outlineLevel="1" x14ac:dyDescent="0.2"/>
    <row r="83" spans="1:13" ht="12.75" hidden="1" customHeight="1" outlineLevel="1" collapsed="1" x14ac:dyDescent="0.2"/>
    <row r="84" spans="1:13" ht="12.75" customHeight="1" collapsed="1" x14ac:dyDescent="0.2"/>
    <row r="85" spans="1:13" ht="12.75" customHeight="1" x14ac:dyDescent="0.2">
      <c r="A85" s="2" t="str">
        <f>"Financing"</f>
        <v>Financing</v>
      </c>
    </row>
    <row r="86" spans="1:13" ht="12.75" hidden="1" customHeight="1" outlineLevel="1" x14ac:dyDescent="0.2">
      <c r="A86" s="2" t="str">
        <f>""</f>
        <v/>
      </c>
    </row>
    <row r="87" spans="1:13" ht="12.75" hidden="1" customHeight="1" outlineLevel="1" x14ac:dyDescent="0.2">
      <c r="A87" s="12" t="str">
        <f>Labels!B59</f>
        <v>Financing Scenario</v>
      </c>
      <c r="B87" s="62">
        <f>Inputs!E139</f>
        <v>1</v>
      </c>
    </row>
    <row r="88" spans="1:13" ht="12.75" hidden="1" customHeight="1" outlineLevel="1" x14ac:dyDescent="0.2"/>
    <row r="89" spans="1:13" ht="12.75" hidden="1" customHeight="1" outlineLevel="1" x14ac:dyDescent="0.2">
      <c r="B89" s="169" t="str">
        <f>Labels!B56</f>
        <v>Financing Weights</v>
      </c>
      <c r="C89" s="170"/>
      <c r="D89" s="171"/>
    </row>
    <row r="90" spans="1:13" ht="12.75" hidden="1" customHeight="1" outlineLevel="1" x14ac:dyDescent="0.2">
      <c r="B90" s="185" t="str">
        <f>Labels!B170</f>
        <v>Invest 1</v>
      </c>
      <c r="C90" s="178" t="str">
        <f>Labels!B171</f>
        <v>Invest 2</v>
      </c>
      <c r="D90" s="186" t="str">
        <f>Labels!C169</f>
        <v>Total</v>
      </c>
    </row>
    <row r="91" spans="1:13" ht="12.75" hidden="1" customHeight="1" outlineLevel="1" x14ac:dyDescent="0.2">
      <c r="A91" s="111" t="str">
        <f>Labels!B157</f>
        <v>Equity</v>
      </c>
      <c r="B91" s="146">
        <f>Investment!B90</f>
        <v>1</v>
      </c>
      <c r="C91" s="146">
        <f>Investment!B91</f>
        <v>1</v>
      </c>
      <c r="D91" s="187">
        <f>AVERAGE(B91:C91)</f>
        <v>1</v>
      </c>
    </row>
    <row r="92" spans="1:13" ht="12.75" hidden="1" customHeight="1" outlineLevel="1" x14ac:dyDescent="0.2">
      <c r="A92" s="117" t="str">
        <f>Labels!B158</f>
        <v>Debt</v>
      </c>
      <c r="B92" s="149">
        <f>Investment!C90</f>
        <v>0</v>
      </c>
      <c r="C92" s="149">
        <f>Investment!C91</f>
        <v>0</v>
      </c>
      <c r="D92" s="188">
        <f>AVERAGE(B92:C92)</f>
        <v>0</v>
      </c>
    </row>
    <row r="93" spans="1:13" ht="12.75" hidden="1" customHeight="1" outlineLevel="1" x14ac:dyDescent="0.2">
      <c r="A93" s="117" t="str">
        <f>Labels!B159</f>
        <v>Lease</v>
      </c>
      <c r="B93" s="149">
        <f>Investment!D90</f>
        <v>0</v>
      </c>
      <c r="C93" s="149">
        <f>Investment!D91</f>
        <v>0</v>
      </c>
      <c r="D93" s="188">
        <f>AVERAGE(B93:C93)</f>
        <v>0</v>
      </c>
    </row>
    <row r="94" spans="1:13" ht="12.75" hidden="1" customHeight="1" outlineLevel="1" x14ac:dyDescent="0.2">
      <c r="A94" s="12" t="str">
        <f>Labels!C156</f>
        <v>Total</v>
      </c>
      <c r="B94" s="168">
        <f>SUM(B91:B93)</f>
        <v>1</v>
      </c>
      <c r="C94" s="168">
        <f>SUM(C91:C93)</f>
        <v>1</v>
      </c>
      <c r="D94" s="184">
        <f>SUM(D91:D93)</f>
        <v>1</v>
      </c>
    </row>
    <row r="95" spans="1:13" ht="12.75" hidden="1" customHeight="1" outlineLevel="1" x14ac:dyDescent="0.2"/>
    <row r="96" spans="1:13" ht="12.75" hidden="1" customHeight="1" outlineLevel="1" x14ac:dyDescent="0.2">
      <c r="A96" s="3" t="str">
        <f>"Debt and Leases"</f>
        <v>Debt and Leases</v>
      </c>
    </row>
    <row r="97" spans="1:13" ht="12.75" hidden="1" customHeight="1" outlineLevel="1" x14ac:dyDescent="0.2">
      <c r="A97" s="3" t="str">
        <f>" "</f>
        <v xml:space="preserve"> </v>
      </c>
    </row>
    <row r="98" spans="1:13" ht="12.75" hidden="1" customHeight="1" outlineLevel="1" x14ac:dyDescent="0.2">
      <c r="A98" s="3" t="str">
        <f>"Debt"</f>
        <v>Debt</v>
      </c>
    </row>
    <row r="99" spans="1:13" ht="12.75" hidden="1" customHeight="1" outlineLevel="2" x14ac:dyDescent="0.2">
      <c r="A99" s="3" t="str">
        <f>""</f>
        <v/>
      </c>
    </row>
    <row r="100" spans="1:13" ht="12.75" hidden="1" customHeight="1" outlineLevel="2" x14ac:dyDescent="0.2">
      <c r="B100" s="17" t="str">
        <f>'(FnCalls 1)'!G6</f>
        <v>Q4 2010</v>
      </c>
      <c r="C100" s="62" t="str">
        <f>'(FnCalls 1)'!H4</f>
        <v>2010</v>
      </c>
      <c r="D100" s="18" t="str">
        <f>'(FnCalls 1)'!G7</f>
        <v>Q1 2011</v>
      </c>
      <c r="E100" s="18" t="str">
        <f>'(FnCalls 1)'!G8</f>
        <v>Q2 2011</v>
      </c>
      <c r="F100" s="18" t="str">
        <f>'(FnCalls 1)'!G9</f>
        <v>Q3 2011</v>
      </c>
      <c r="G100" s="18" t="str">
        <f>'(FnCalls 1)'!G10</f>
        <v>Q4 2011</v>
      </c>
      <c r="H100" s="62" t="str">
        <f>'(FnCalls 1)'!H7</f>
        <v>2011</v>
      </c>
      <c r="I100" s="18" t="str">
        <f>'(FnCalls 1)'!G11</f>
        <v>Q1 2012</v>
      </c>
      <c r="J100" s="18" t="str">
        <f>'(FnCalls 1)'!G12</f>
        <v>Q2 2012</v>
      </c>
      <c r="K100" s="18" t="str">
        <f>'(FnCalls 1)'!G13</f>
        <v>Q3 2012</v>
      </c>
      <c r="L100" s="18" t="str">
        <f>'(FnCalls 1)'!G14</f>
        <v>Q4 2012</v>
      </c>
      <c r="M100" s="62" t="str">
        <f>'(FnCalls 1)'!H11</f>
        <v>2012</v>
      </c>
    </row>
    <row r="101" spans="1:13" ht="12.75" hidden="1" customHeight="1" outlineLevel="2" x14ac:dyDescent="0.2">
      <c r="A101" s="111" t="str">
        <f>Labels!B32</f>
        <v>Debt Principal</v>
      </c>
      <c r="B101" s="110"/>
      <c r="C101" s="75"/>
      <c r="D101" s="110"/>
      <c r="E101" s="110"/>
      <c r="F101" s="110"/>
      <c r="G101" s="110"/>
      <c r="H101" s="75"/>
      <c r="I101" s="110"/>
      <c r="J101" s="110"/>
      <c r="K101" s="110"/>
      <c r="L101" s="110"/>
      <c r="M101" s="75"/>
    </row>
    <row r="102" spans="1:13" ht="12.75" hidden="1" customHeight="1" outlineLevel="2" x14ac:dyDescent="0.2">
      <c r="A102" s="114" t="str">
        <f>"   "&amp;Labels!B170</f>
        <v xml:space="preserve">   Invest 1</v>
      </c>
      <c r="B102" s="113">
        <f>'Blended Fin'!B294</f>
        <v>0</v>
      </c>
      <c r="C102" s="69">
        <f>'Blended Fin'!B294</f>
        <v>0</v>
      </c>
      <c r="D102" s="113">
        <f>'Blended Fin'!D294</f>
        <v>0</v>
      </c>
      <c r="E102" s="113">
        <f>'Blended Fin'!E294</f>
        <v>0</v>
      </c>
      <c r="F102" s="113">
        <f>'Blended Fin'!F294</f>
        <v>0</v>
      </c>
      <c r="G102" s="113">
        <f>'Blended Fin'!G294</f>
        <v>0</v>
      </c>
      <c r="H102" s="69">
        <f>'Blended Fin'!G294</f>
        <v>0</v>
      </c>
      <c r="I102" s="113">
        <f>'Blended Fin'!I294</f>
        <v>0</v>
      </c>
      <c r="J102" s="113">
        <f>'Blended Fin'!J294</f>
        <v>0</v>
      </c>
      <c r="K102" s="113">
        <f>'Blended Fin'!K294</f>
        <v>0</v>
      </c>
      <c r="L102" s="113">
        <f>'Blended Fin'!L294</f>
        <v>0</v>
      </c>
      <c r="M102" s="69">
        <f>'Blended Fin'!L294</f>
        <v>0</v>
      </c>
    </row>
    <row r="103" spans="1:13" ht="12.75" hidden="1" customHeight="1" outlineLevel="2" x14ac:dyDescent="0.2">
      <c r="A103" s="114" t="str">
        <f>"   "&amp;Labels!B171</f>
        <v xml:space="preserve">   Invest 2</v>
      </c>
      <c r="B103" s="113">
        <f>'Blended Fin'!B295</f>
        <v>0</v>
      </c>
      <c r="C103" s="69">
        <f>'Blended Fin'!B295</f>
        <v>0</v>
      </c>
      <c r="D103" s="113">
        <f>'Blended Fin'!D295</f>
        <v>0</v>
      </c>
      <c r="E103" s="113">
        <f>'Blended Fin'!E295</f>
        <v>0</v>
      </c>
      <c r="F103" s="113">
        <f>'Blended Fin'!F295</f>
        <v>0</v>
      </c>
      <c r="G103" s="113">
        <f>'Blended Fin'!G295</f>
        <v>0</v>
      </c>
      <c r="H103" s="69">
        <f>'Blended Fin'!G295</f>
        <v>0</v>
      </c>
      <c r="I103" s="113">
        <f>'Blended Fin'!I295</f>
        <v>0</v>
      </c>
      <c r="J103" s="113">
        <f>'Blended Fin'!J295</f>
        <v>0</v>
      </c>
      <c r="K103" s="113">
        <f>'Blended Fin'!K295</f>
        <v>0</v>
      </c>
      <c r="L103" s="113">
        <f>'Blended Fin'!L295</f>
        <v>0</v>
      </c>
      <c r="M103" s="69">
        <f>'Blended Fin'!L295</f>
        <v>0</v>
      </c>
    </row>
    <row r="104" spans="1:13" ht="12.75" hidden="1" customHeight="1" outlineLevel="2" x14ac:dyDescent="0.2">
      <c r="A104" s="117" t="str">
        <f>"   "&amp;Labels!C169</f>
        <v xml:space="preserve">   Total</v>
      </c>
      <c r="B104" s="120">
        <f>SUM(B102:B103)</f>
        <v>0</v>
      </c>
      <c r="C104" s="69">
        <f>SUM(B102:B103)</f>
        <v>0</v>
      </c>
      <c r="D104" s="120">
        <f>SUM(D102:D103)</f>
        <v>0</v>
      </c>
      <c r="E104" s="120">
        <f>SUM(E102:E103)</f>
        <v>0</v>
      </c>
      <c r="F104" s="120">
        <f>SUM(F102:F103)</f>
        <v>0</v>
      </c>
      <c r="G104" s="120">
        <f>SUM(G102:G103)</f>
        <v>0</v>
      </c>
      <c r="H104" s="69">
        <f>SUM(G102:G103)</f>
        <v>0</v>
      </c>
      <c r="I104" s="120">
        <f>SUM(I102:I103)</f>
        <v>0</v>
      </c>
      <c r="J104" s="120">
        <f>SUM(J102:J103)</f>
        <v>0</v>
      </c>
      <c r="K104" s="120">
        <f>SUM(K102:K103)</f>
        <v>0</v>
      </c>
      <c r="L104" s="120">
        <f>SUM(L102:L103)</f>
        <v>0</v>
      </c>
      <c r="M104" s="69">
        <f>SUM(L102:L103)</f>
        <v>0</v>
      </c>
    </row>
    <row r="105" spans="1:13" ht="12.75" hidden="1" customHeight="1" outlineLevel="2" x14ac:dyDescent="0.2">
      <c r="A105" s="12"/>
      <c r="B105" s="10"/>
      <c r="C105" s="12"/>
      <c r="D105" s="10"/>
      <c r="E105" s="10"/>
      <c r="F105" s="10"/>
      <c r="G105" s="10"/>
      <c r="H105" s="12"/>
      <c r="I105" s="10"/>
      <c r="J105" s="10"/>
      <c r="K105" s="10"/>
      <c r="L105" s="10"/>
      <c r="M105" s="12"/>
    </row>
    <row r="106" spans="1:13" ht="12.75" hidden="1" customHeight="1" outlineLevel="2" x14ac:dyDescent="0.2">
      <c r="A106" s="117" t="str">
        <f>Labels!B33</f>
        <v>Change Debt Principal</v>
      </c>
      <c r="B106" s="120"/>
      <c r="C106" s="69"/>
      <c r="D106" s="120"/>
      <c r="E106" s="120"/>
      <c r="F106" s="120"/>
      <c r="G106" s="120"/>
      <c r="H106" s="69"/>
      <c r="I106" s="120"/>
      <c r="J106" s="120"/>
      <c r="K106" s="120"/>
      <c r="L106" s="120"/>
      <c r="M106" s="69"/>
    </row>
    <row r="107" spans="1:13" ht="12.75" hidden="1" customHeight="1" outlineLevel="2" x14ac:dyDescent="0.2">
      <c r="A107" s="114" t="str">
        <f>"   "&amp;Labels!B170</f>
        <v xml:space="preserve">   Invest 1</v>
      </c>
      <c r="B107" s="113">
        <f>'Blended Fin'!B308</f>
        <v>0</v>
      </c>
      <c r="C107" s="69">
        <f>'Blended Fin'!B308</f>
        <v>0</v>
      </c>
      <c r="D107" s="113">
        <f>'Blended Fin'!D308</f>
        <v>0</v>
      </c>
      <c r="E107" s="113">
        <f>'Blended Fin'!E308</f>
        <v>0</v>
      </c>
      <c r="F107" s="113">
        <f>'Blended Fin'!F308</f>
        <v>0</v>
      </c>
      <c r="G107" s="113">
        <f>'Blended Fin'!G308</f>
        <v>0</v>
      </c>
      <c r="H107" s="69">
        <f>SUM(D107:G107)</f>
        <v>0</v>
      </c>
      <c r="I107" s="113">
        <f>'Blended Fin'!I308</f>
        <v>0</v>
      </c>
      <c r="J107" s="113">
        <f>'Blended Fin'!J308</f>
        <v>0</v>
      </c>
      <c r="K107" s="113">
        <f>'Blended Fin'!K308</f>
        <v>0</v>
      </c>
      <c r="L107" s="113">
        <f>'Blended Fin'!L308</f>
        <v>0</v>
      </c>
      <c r="M107" s="69">
        <f>SUM(I107:L107)</f>
        <v>0</v>
      </c>
    </row>
    <row r="108" spans="1:13" ht="12.75" hidden="1" customHeight="1" outlineLevel="2" x14ac:dyDescent="0.2">
      <c r="A108" s="114" t="str">
        <f>"   "&amp;Labels!B171</f>
        <v xml:space="preserve">   Invest 2</v>
      </c>
      <c r="B108" s="113">
        <f>'Blended Fin'!B309</f>
        <v>0</v>
      </c>
      <c r="C108" s="69">
        <f>'Blended Fin'!B309</f>
        <v>0</v>
      </c>
      <c r="D108" s="113">
        <f>'Blended Fin'!D309</f>
        <v>0</v>
      </c>
      <c r="E108" s="113">
        <f>'Blended Fin'!E309</f>
        <v>0</v>
      </c>
      <c r="F108" s="113">
        <f>'Blended Fin'!F309</f>
        <v>0</v>
      </c>
      <c r="G108" s="113">
        <f>'Blended Fin'!G309</f>
        <v>0</v>
      </c>
      <c r="H108" s="69">
        <f>SUM(D108:G108)</f>
        <v>0</v>
      </c>
      <c r="I108" s="113">
        <f>'Blended Fin'!I309</f>
        <v>0</v>
      </c>
      <c r="J108" s="113">
        <f>'Blended Fin'!J309</f>
        <v>0</v>
      </c>
      <c r="K108" s="113">
        <f>'Blended Fin'!K309</f>
        <v>0</v>
      </c>
      <c r="L108" s="113">
        <f>'Blended Fin'!L309</f>
        <v>0</v>
      </c>
      <c r="M108" s="69">
        <f>SUM(I108:L108)</f>
        <v>0</v>
      </c>
    </row>
    <row r="109" spans="1:13" ht="12.75" hidden="1" customHeight="1" outlineLevel="2" x14ac:dyDescent="0.2">
      <c r="A109" s="117" t="str">
        <f>"   "&amp;Labels!C169</f>
        <v xml:space="preserve">   Total</v>
      </c>
      <c r="B109" s="120">
        <f>SUM(B107:B108)</f>
        <v>0</v>
      </c>
      <c r="C109" s="69">
        <f>SUM(B107:B108)</f>
        <v>0</v>
      </c>
      <c r="D109" s="120">
        <f>SUM(D107:D108)</f>
        <v>0</v>
      </c>
      <c r="E109" s="120">
        <f>SUM(E107:E108)</f>
        <v>0</v>
      </c>
      <c r="F109" s="120">
        <f>SUM(F107:F108)</f>
        <v>0</v>
      </c>
      <c r="G109" s="120">
        <f>SUM(G107:G108)</f>
        <v>0</v>
      </c>
      <c r="H109" s="69">
        <f>SUM(D109:G109)</f>
        <v>0</v>
      </c>
      <c r="I109" s="120">
        <f>SUM(I107:I108)</f>
        <v>0</v>
      </c>
      <c r="J109" s="120">
        <f>SUM(J107:J108)</f>
        <v>0</v>
      </c>
      <c r="K109" s="120">
        <f>SUM(K107:K108)</f>
        <v>0</v>
      </c>
      <c r="L109" s="120">
        <f>SUM(L107:L108)</f>
        <v>0</v>
      </c>
      <c r="M109" s="69">
        <f>SUM(I109:L109)</f>
        <v>0</v>
      </c>
    </row>
    <row r="110" spans="1:13" ht="12.75" hidden="1" customHeight="1" outlineLevel="2" x14ac:dyDescent="0.2">
      <c r="A110" s="12"/>
      <c r="B110" s="10"/>
      <c r="C110" s="12"/>
      <c r="D110" s="10"/>
      <c r="E110" s="10"/>
      <c r="F110" s="10"/>
      <c r="G110" s="10"/>
      <c r="H110" s="12"/>
      <c r="I110" s="10"/>
      <c r="J110" s="10"/>
      <c r="K110" s="10"/>
      <c r="L110" s="10"/>
      <c r="M110" s="12"/>
    </row>
    <row r="111" spans="1:13" ht="12.75" hidden="1" customHeight="1" outlineLevel="2" x14ac:dyDescent="0.2">
      <c r="A111" s="117" t="str">
        <f>Labels!B31</f>
        <v>Debt Interest Payments</v>
      </c>
      <c r="B111" s="120"/>
      <c r="C111" s="69"/>
      <c r="D111" s="120"/>
      <c r="E111" s="120"/>
      <c r="F111" s="120"/>
      <c r="G111" s="120"/>
      <c r="H111" s="69"/>
      <c r="I111" s="120"/>
      <c r="J111" s="120"/>
      <c r="K111" s="120"/>
      <c r="L111" s="120"/>
      <c r="M111" s="69"/>
    </row>
    <row r="112" spans="1:13" ht="12.75" hidden="1" customHeight="1" outlineLevel="2" x14ac:dyDescent="0.2">
      <c r="A112" s="114" t="str">
        <f>"   "&amp;Labels!B170</f>
        <v xml:space="preserve">   Invest 1</v>
      </c>
      <c r="B112" s="113">
        <f>'Blended Fin'!B322</f>
        <v>0</v>
      </c>
      <c r="C112" s="69">
        <f>'Blended Fin'!B322</f>
        <v>0</v>
      </c>
      <c r="D112" s="113">
        <f>'Blended Fin'!D322</f>
        <v>0</v>
      </c>
      <c r="E112" s="113">
        <f>'Blended Fin'!E322</f>
        <v>0</v>
      </c>
      <c r="F112" s="113">
        <f>'Blended Fin'!F322</f>
        <v>0</v>
      </c>
      <c r="G112" s="113">
        <f>'Blended Fin'!G322</f>
        <v>0</v>
      </c>
      <c r="H112" s="69">
        <f>SUM(D112:G112)</f>
        <v>0</v>
      </c>
      <c r="I112" s="113">
        <f>'Blended Fin'!I322</f>
        <v>0</v>
      </c>
      <c r="J112" s="113">
        <f>'Blended Fin'!J322</f>
        <v>0</v>
      </c>
      <c r="K112" s="113">
        <f>'Blended Fin'!K322</f>
        <v>0</v>
      </c>
      <c r="L112" s="113">
        <f>'Blended Fin'!L322</f>
        <v>0</v>
      </c>
      <c r="M112" s="69">
        <f>SUM(I112:L112)</f>
        <v>0</v>
      </c>
    </row>
    <row r="113" spans="1:13" ht="12.75" hidden="1" customHeight="1" outlineLevel="2" x14ac:dyDescent="0.2">
      <c r="A113" s="114" t="str">
        <f>"   "&amp;Labels!B171</f>
        <v xml:space="preserve">   Invest 2</v>
      </c>
      <c r="B113" s="113">
        <f>'Blended Fin'!B323</f>
        <v>0</v>
      </c>
      <c r="C113" s="69">
        <f>'Blended Fin'!B323</f>
        <v>0</v>
      </c>
      <c r="D113" s="113">
        <f>'Blended Fin'!D323</f>
        <v>0</v>
      </c>
      <c r="E113" s="113">
        <f>'Blended Fin'!E323</f>
        <v>0</v>
      </c>
      <c r="F113" s="113">
        <f>'Blended Fin'!F323</f>
        <v>0</v>
      </c>
      <c r="G113" s="113">
        <f>'Blended Fin'!G323</f>
        <v>0</v>
      </c>
      <c r="H113" s="69">
        <f>SUM(D113:G113)</f>
        <v>0</v>
      </c>
      <c r="I113" s="113">
        <f>'Blended Fin'!I323</f>
        <v>0</v>
      </c>
      <c r="J113" s="113">
        <f>'Blended Fin'!J323</f>
        <v>0</v>
      </c>
      <c r="K113" s="113">
        <f>'Blended Fin'!K323</f>
        <v>0</v>
      </c>
      <c r="L113" s="113">
        <f>'Blended Fin'!L323</f>
        <v>0</v>
      </c>
      <c r="M113" s="69">
        <f>SUM(I113:L113)</f>
        <v>0</v>
      </c>
    </row>
    <row r="114" spans="1:13" ht="12.75" hidden="1" customHeight="1" outlineLevel="2" x14ac:dyDescent="0.2">
      <c r="A114" s="121" t="str">
        <f>"   "&amp;Labels!C169</f>
        <v xml:space="preserve">   Total</v>
      </c>
      <c r="B114" s="132">
        <f>SUM(B112:B113)</f>
        <v>0</v>
      </c>
      <c r="C114" s="70">
        <f>SUM(B112:B113)</f>
        <v>0</v>
      </c>
      <c r="D114" s="132">
        <f>SUM(D112:D113)</f>
        <v>0</v>
      </c>
      <c r="E114" s="132">
        <f>SUM(E112:E113)</f>
        <v>0</v>
      </c>
      <c r="F114" s="132">
        <f>SUM(F112:F113)</f>
        <v>0</v>
      </c>
      <c r="G114" s="132">
        <f>SUM(G112:G113)</f>
        <v>0</v>
      </c>
      <c r="H114" s="70">
        <f>SUM(D114:G114)</f>
        <v>0</v>
      </c>
      <c r="I114" s="132">
        <f>SUM(I112:I113)</f>
        <v>0</v>
      </c>
      <c r="J114" s="132">
        <f>SUM(J112:J113)</f>
        <v>0</v>
      </c>
      <c r="K114" s="132">
        <f>SUM(K112:K113)</f>
        <v>0</v>
      </c>
      <c r="L114" s="132">
        <f>SUM(L112:L113)</f>
        <v>0</v>
      </c>
      <c r="M114" s="70">
        <f>SUM(I114:L114)</f>
        <v>0</v>
      </c>
    </row>
    <row r="115" spans="1:13" ht="12.75" hidden="1" customHeight="1" outlineLevel="2" collapsed="1" x14ac:dyDescent="0.2"/>
    <row r="116" spans="1:13" ht="12.75" hidden="1" customHeight="1" outlineLevel="1" collapsed="1" x14ac:dyDescent="0.2">
      <c r="A116" s="3" t="str">
        <f>"Leases"</f>
        <v>Leases</v>
      </c>
    </row>
    <row r="117" spans="1:13" ht="12.75" hidden="1" customHeight="1" outlineLevel="2" x14ac:dyDescent="0.2">
      <c r="A117" s="3" t="str">
        <f>""</f>
        <v/>
      </c>
    </row>
    <row r="118" spans="1:13" ht="12.75" hidden="1" customHeight="1" outlineLevel="2" x14ac:dyDescent="0.2">
      <c r="B118" s="17" t="str">
        <f>'(FnCalls 1)'!G6</f>
        <v>Q4 2010</v>
      </c>
      <c r="C118" s="62" t="str">
        <f>'(FnCalls 1)'!H4</f>
        <v>2010</v>
      </c>
      <c r="D118" s="18" t="str">
        <f>'(FnCalls 1)'!G7</f>
        <v>Q1 2011</v>
      </c>
      <c r="E118" s="18" t="str">
        <f>'(FnCalls 1)'!G8</f>
        <v>Q2 2011</v>
      </c>
      <c r="F118" s="18" t="str">
        <f>'(FnCalls 1)'!G9</f>
        <v>Q3 2011</v>
      </c>
      <c r="G118" s="18" t="str">
        <f>'(FnCalls 1)'!G10</f>
        <v>Q4 2011</v>
      </c>
      <c r="H118" s="62" t="str">
        <f>'(FnCalls 1)'!H7</f>
        <v>2011</v>
      </c>
      <c r="I118" s="18" t="str">
        <f>'(FnCalls 1)'!G11</f>
        <v>Q1 2012</v>
      </c>
      <c r="J118" s="18" t="str">
        <f>'(FnCalls 1)'!G12</f>
        <v>Q2 2012</v>
      </c>
      <c r="K118" s="18" t="str">
        <f>'(FnCalls 1)'!G13</f>
        <v>Q3 2012</v>
      </c>
      <c r="L118" s="18" t="str">
        <f>'(FnCalls 1)'!G14</f>
        <v>Q4 2012</v>
      </c>
      <c r="M118" s="62" t="str">
        <f>'(FnCalls 1)'!H11</f>
        <v>2012</v>
      </c>
    </row>
    <row r="119" spans="1:13" ht="12.75" hidden="1" customHeight="1" outlineLevel="2" x14ac:dyDescent="0.2">
      <c r="A119" s="111" t="str">
        <f>Labels!B87</f>
        <v>Lease Payments</v>
      </c>
      <c r="B119" s="110"/>
      <c r="C119" s="75"/>
      <c r="D119" s="110"/>
      <c r="E119" s="110"/>
      <c r="F119" s="110"/>
      <c r="G119" s="110"/>
      <c r="H119" s="75"/>
      <c r="I119" s="110"/>
      <c r="J119" s="110"/>
      <c r="K119" s="110"/>
      <c r="L119" s="110"/>
      <c r="M119" s="75"/>
    </row>
    <row r="120" spans="1:13" ht="12.75" hidden="1" customHeight="1" outlineLevel="2" x14ac:dyDescent="0.2">
      <c r="A120" s="114" t="str">
        <f>"   "&amp;Labels!B170</f>
        <v xml:space="preserve">   Invest 1</v>
      </c>
      <c r="B120" s="113">
        <f>'Blended Fin'!B339</f>
        <v>0</v>
      </c>
      <c r="C120" s="69">
        <f>'Blended Fin'!B339</f>
        <v>0</v>
      </c>
      <c r="D120" s="113">
        <f>'Blended Fin'!D339</f>
        <v>0</v>
      </c>
      <c r="E120" s="113">
        <f>'Blended Fin'!E339</f>
        <v>0</v>
      </c>
      <c r="F120" s="113">
        <f>'Blended Fin'!F339</f>
        <v>0</v>
      </c>
      <c r="G120" s="113">
        <f>'Blended Fin'!G339</f>
        <v>0</v>
      </c>
      <c r="H120" s="69">
        <f>SUM(D120:G120)</f>
        <v>0</v>
      </c>
      <c r="I120" s="113">
        <f>'Blended Fin'!I339</f>
        <v>0</v>
      </c>
      <c r="J120" s="113">
        <f>'Blended Fin'!J339</f>
        <v>0</v>
      </c>
      <c r="K120" s="113">
        <f>'Blended Fin'!K339</f>
        <v>0</v>
      </c>
      <c r="L120" s="113">
        <f>'Blended Fin'!L339</f>
        <v>0</v>
      </c>
      <c r="M120" s="69">
        <f>SUM(I120:L120)</f>
        <v>0</v>
      </c>
    </row>
    <row r="121" spans="1:13" ht="12.75" hidden="1" customHeight="1" outlineLevel="2" x14ac:dyDescent="0.2">
      <c r="A121" s="114" t="str">
        <f>"   "&amp;Labels!B171</f>
        <v xml:space="preserve">   Invest 2</v>
      </c>
      <c r="B121" s="113">
        <f>'Blended Fin'!B340</f>
        <v>0</v>
      </c>
      <c r="C121" s="69">
        <f>'Blended Fin'!B340</f>
        <v>0</v>
      </c>
      <c r="D121" s="113">
        <f>'Blended Fin'!D340</f>
        <v>0</v>
      </c>
      <c r="E121" s="113">
        <f>'Blended Fin'!E340</f>
        <v>0</v>
      </c>
      <c r="F121" s="113">
        <f>'Blended Fin'!F340</f>
        <v>0</v>
      </c>
      <c r="G121" s="113">
        <f>'Blended Fin'!G340</f>
        <v>0</v>
      </c>
      <c r="H121" s="69">
        <f>SUM(D121:G121)</f>
        <v>0</v>
      </c>
      <c r="I121" s="113">
        <f>'Blended Fin'!I340</f>
        <v>0</v>
      </c>
      <c r="J121" s="113">
        <f>'Blended Fin'!J340</f>
        <v>0</v>
      </c>
      <c r="K121" s="113">
        <f>'Blended Fin'!K340</f>
        <v>0</v>
      </c>
      <c r="L121" s="113">
        <f>'Blended Fin'!L340</f>
        <v>0</v>
      </c>
      <c r="M121" s="69">
        <f>SUM(I121:L121)</f>
        <v>0</v>
      </c>
    </row>
    <row r="122" spans="1:13" ht="12.75" hidden="1" customHeight="1" outlineLevel="2" x14ac:dyDescent="0.2">
      <c r="A122" s="121" t="str">
        <f>"   "&amp;Labels!C169</f>
        <v xml:space="preserve">   Total</v>
      </c>
      <c r="B122" s="132">
        <f>SUM(B120:B121)</f>
        <v>0</v>
      </c>
      <c r="C122" s="70">
        <f>SUM(B120:B121)</f>
        <v>0</v>
      </c>
      <c r="D122" s="132">
        <f>SUM(D120:D121)</f>
        <v>0</v>
      </c>
      <c r="E122" s="132">
        <f>SUM(E120:E121)</f>
        <v>0</v>
      </c>
      <c r="F122" s="132">
        <f>SUM(F120:F121)</f>
        <v>0</v>
      </c>
      <c r="G122" s="132">
        <f>SUM(G120:G121)</f>
        <v>0</v>
      </c>
      <c r="H122" s="70">
        <f>SUM(D122:G122)</f>
        <v>0</v>
      </c>
      <c r="I122" s="132">
        <f>SUM(I120:I121)</f>
        <v>0</v>
      </c>
      <c r="J122" s="132">
        <f>SUM(J120:J121)</f>
        <v>0</v>
      </c>
      <c r="K122" s="132">
        <f>SUM(K120:K121)</f>
        <v>0</v>
      </c>
      <c r="L122" s="132">
        <f>SUM(L120:L121)</f>
        <v>0</v>
      </c>
      <c r="M122" s="70">
        <f>SUM(I122:L122)</f>
        <v>0</v>
      </c>
    </row>
    <row r="123" spans="1:13" ht="12.75" hidden="1" customHeight="1" outlineLevel="2" collapsed="1" x14ac:dyDescent="0.2"/>
    <row r="124" spans="1:13" ht="12.75" hidden="1" customHeight="1" outlineLevel="1" collapsed="1" x14ac:dyDescent="0.2">
      <c r="A124" t="s">
        <v>841</v>
      </c>
      <c r="B124" t="s">
        <v>841</v>
      </c>
      <c r="C124" t="s">
        <v>841</v>
      </c>
      <c r="D124" t="s">
        <v>841</v>
      </c>
      <c r="E124" t="s">
        <v>841</v>
      </c>
      <c r="F124" t="s">
        <v>841</v>
      </c>
      <c r="G124" t="s">
        <v>841</v>
      </c>
      <c r="H124" t="s">
        <v>841</v>
      </c>
      <c r="I124" t="s">
        <v>841</v>
      </c>
      <c r="J124" t="s">
        <v>841</v>
      </c>
      <c r="K124" t="s">
        <v>841</v>
      </c>
      <c r="L124" t="s">
        <v>841</v>
      </c>
      <c r="M124" t="s">
        <v>841</v>
      </c>
    </row>
    <row r="125" spans="1:13" ht="12.75" hidden="1" customHeight="1" outlineLevel="1" collapsed="1" x14ac:dyDescent="0.2"/>
    <row r="126" spans="1:13" ht="12.75" customHeight="1" collapsed="1" x14ac:dyDescent="0.2"/>
  </sheetData>
  <mergeCells count="8">
    <mergeCell ref="A37:B37"/>
    <mergeCell ref="A38:B38"/>
    <mergeCell ref="A1:D1"/>
    <mergeCell ref="A2:D2"/>
    <mergeCell ref="A3:D3"/>
    <mergeCell ref="A4:D4"/>
    <mergeCell ref="A19:B19"/>
    <mergeCell ref="A20:B20"/>
  </mergeCells>
  <pageMargins left="0.25" right="0.25" top="0.5" bottom="0.5" header="0.5" footer="0.5"/>
  <pageSetup paperSize="9" fitToHeight="32767" orientation="landscape"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126"/>
  <sheetViews>
    <sheetView zoomScaleNormal="100" workbookViewId="0"/>
  </sheetViews>
  <sheetFormatPr defaultRowHeight="12.75" customHeight="1" outlineLevelRow="2" x14ac:dyDescent="0.2"/>
  <cols>
    <col min="1" max="1" width="30.85546875" customWidth="1"/>
    <col min="2" max="2" width="17.85546875" customWidth="1"/>
    <col min="3" max="13" width="16" customWidth="1"/>
  </cols>
  <sheetData>
    <row r="1" spans="1:13" ht="12.75" customHeight="1" x14ac:dyDescent="0.2">
      <c r="A1" s="270" t="str">
        <f>Inputs!E7</f>
        <v>ModelSheet Software</v>
      </c>
      <c r="B1" s="270"/>
      <c r="C1" s="270"/>
      <c r="D1" s="270"/>
    </row>
    <row r="2" spans="1:13" ht="12.75" customHeight="1" x14ac:dyDescent="0.2">
      <c r="A2" s="270" t="str">
        <f>Inputs!E9</f>
        <v>Project Test</v>
      </c>
      <c r="B2" s="270"/>
      <c r="C2" s="270"/>
      <c r="D2" s="270"/>
    </row>
    <row r="3" spans="1:13" ht="12.75" customHeight="1" x14ac:dyDescent="0.2">
      <c r="A3" s="270" t="str">
        <f>"Blended Financing, Subproject "</f>
        <v xml:space="preserve">Blended Financing, Subproject </v>
      </c>
      <c r="B3" s="270"/>
      <c r="C3" s="270"/>
      <c r="D3" s="270"/>
    </row>
    <row r="4" spans="1:13" ht="12.75" customHeight="1" x14ac:dyDescent="0.2">
      <c r="A4" s="270" t="str">
        <f>" "</f>
        <v xml:space="preserve"> </v>
      </c>
      <c r="B4" s="270"/>
      <c r="C4" s="270"/>
      <c r="D4" s="270"/>
    </row>
    <row r="5" spans="1:13" ht="12.75" customHeight="1" x14ac:dyDescent="0.2">
      <c r="A5" s="2" t="str">
        <f>"Cash Flow"</f>
        <v>Cash Flow</v>
      </c>
    </row>
    <row r="6" spans="1:13" ht="12.75" customHeight="1" x14ac:dyDescent="0.2">
      <c r="A6" s="1" t="str">
        <f>" "</f>
        <v xml:space="preserve"> </v>
      </c>
    </row>
    <row r="7" spans="1:13" ht="12.75" customHeight="1" x14ac:dyDescent="0.2">
      <c r="B7" s="17" t="str">
        <f>'(FnCalls 1)'!G6</f>
        <v>Q4 2010</v>
      </c>
      <c r="C7" s="62" t="str">
        <f>'(FnCalls 1)'!H4</f>
        <v>2010</v>
      </c>
      <c r="D7" s="18" t="str">
        <f>'(FnCalls 1)'!G7</f>
        <v>Q1 2011</v>
      </c>
      <c r="E7" s="18" t="str">
        <f>'(FnCalls 1)'!G8</f>
        <v>Q2 2011</v>
      </c>
      <c r="F7" s="18" t="str">
        <f>'(FnCalls 1)'!G9</f>
        <v>Q3 2011</v>
      </c>
      <c r="G7" s="18" t="str">
        <f>'(FnCalls 1)'!G10</f>
        <v>Q4 2011</v>
      </c>
      <c r="H7" s="62" t="str">
        <f>'(FnCalls 1)'!H7</f>
        <v>2011</v>
      </c>
      <c r="I7" s="18" t="str">
        <f>'(FnCalls 1)'!G11</f>
        <v>Q1 2012</v>
      </c>
      <c r="J7" s="18" t="str">
        <f>'(FnCalls 1)'!G12</f>
        <v>Q2 2012</v>
      </c>
      <c r="K7" s="18" t="str">
        <f>'(FnCalls 1)'!G13</f>
        <v>Q3 2012</v>
      </c>
      <c r="L7" s="18" t="str">
        <f>'(FnCalls 1)'!G14</f>
        <v>Q4 2012</v>
      </c>
      <c r="M7" s="62" t="str">
        <f>'(FnCalls 1)'!H11</f>
        <v>2012</v>
      </c>
    </row>
    <row r="8" spans="1:13" ht="12.75" customHeight="1" x14ac:dyDescent="0.2">
      <c r="A8" s="111" t="str">
        <f>Labels!B14</f>
        <v>Cash Flow</v>
      </c>
      <c r="B8" s="110"/>
      <c r="C8" s="75"/>
      <c r="D8" s="110"/>
      <c r="E8" s="110"/>
      <c r="F8" s="110"/>
      <c r="G8" s="110"/>
      <c r="H8" s="75"/>
      <c r="I8" s="110"/>
      <c r="J8" s="110"/>
      <c r="K8" s="110"/>
      <c r="L8" s="110"/>
      <c r="M8" s="75"/>
    </row>
    <row r="9" spans="1:13" ht="12.75" customHeight="1" x14ac:dyDescent="0.2">
      <c r="A9" s="114" t="str">
        <f>"   "&amp;Labels!B135</f>
        <v xml:space="preserve">   EBITDA</v>
      </c>
      <c r="B9" s="113">
        <f>'Blended Fin'!B28</f>
        <v>0</v>
      </c>
      <c r="C9" s="69">
        <f>'Blended Fin'!B28</f>
        <v>0</v>
      </c>
      <c r="D9" s="113">
        <f>'Blended Fin'!D28</f>
        <v>0</v>
      </c>
      <c r="E9" s="113">
        <f>'Blended Fin'!E28</f>
        <v>0</v>
      </c>
      <c r="F9" s="113">
        <f>'Blended Fin'!F28</f>
        <v>0</v>
      </c>
      <c r="G9" s="113">
        <f>'Blended Fin'!G28</f>
        <v>0</v>
      </c>
      <c r="H9" s="69">
        <f t="shared" ref="H9:H17" si="0">SUM(D9:G9)</f>
        <v>0</v>
      </c>
      <c r="I9" s="113">
        <f>'Blended Fin'!I28</f>
        <v>0</v>
      </c>
      <c r="J9" s="113">
        <f>'Blended Fin'!J28</f>
        <v>0</v>
      </c>
      <c r="K9" s="113">
        <f>'Blended Fin'!K28</f>
        <v>0</v>
      </c>
      <c r="L9" s="113">
        <f>'Blended Fin'!L28</f>
        <v>0</v>
      </c>
      <c r="M9" s="69">
        <f t="shared" ref="M9:M17" si="1">SUM(I9:L9)</f>
        <v>0</v>
      </c>
    </row>
    <row r="10" spans="1:13" ht="12.75" customHeight="1" x14ac:dyDescent="0.2">
      <c r="A10" s="114" t="str">
        <f>"   "&amp;Labels!B136</f>
        <v xml:space="preserve">   Fixed Invest</v>
      </c>
      <c r="B10" s="113">
        <f>'Blended Fin'!B29</f>
        <v>0</v>
      </c>
      <c r="C10" s="69">
        <f>'Blended Fin'!B29</f>
        <v>0</v>
      </c>
      <c r="D10" s="113">
        <f>'Blended Fin'!D29</f>
        <v>0</v>
      </c>
      <c r="E10" s="113">
        <f>'Blended Fin'!E29</f>
        <v>0</v>
      </c>
      <c r="F10" s="113">
        <f>'Blended Fin'!F29</f>
        <v>0</v>
      </c>
      <c r="G10" s="113">
        <f>'Blended Fin'!G29</f>
        <v>0</v>
      </c>
      <c r="H10" s="69">
        <f t="shared" si="0"/>
        <v>0</v>
      </c>
      <c r="I10" s="113">
        <f>'Blended Fin'!I29</f>
        <v>0</v>
      </c>
      <c r="J10" s="113">
        <f>'Blended Fin'!J29</f>
        <v>0</v>
      </c>
      <c r="K10" s="113">
        <f>'Blended Fin'!K29</f>
        <v>0</v>
      </c>
      <c r="L10" s="113">
        <f>'Blended Fin'!L29</f>
        <v>0</v>
      </c>
      <c r="M10" s="69">
        <f t="shared" si="1"/>
        <v>0</v>
      </c>
    </row>
    <row r="11" spans="1:13" ht="12.75" customHeight="1" x14ac:dyDescent="0.2">
      <c r="A11" s="114" t="str">
        <f>"   "&amp;Labels!B137</f>
        <v xml:space="preserve">   Inv Tax Credit</v>
      </c>
      <c r="B11" s="113">
        <f>'Blended Fin'!B30</f>
        <v>0</v>
      </c>
      <c r="C11" s="69">
        <f>'Blended Fin'!B30</f>
        <v>0</v>
      </c>
      <c r="D11" s="113">
        <f>'Blended Fin'!D30</f>
        <v>0</v>
      </c>
      <c r="E11" s="113">
        <f>'Blended Fin'!E30</f>
        <v>0</v>
      </c>
      <c r="F11" s="113">
        <f>'Blended Fin'!F30</f>
        <v>0</v>
      </c>
      <c r="G11" s="113">
        <f>'Blended Fin'!G30</f>
        <v>0</v>
      </c>
      <c r="H11" s="69">
        <f t="shared" si="0"/>
        <v>0</v>
      </c>
      <c r="I11" s="113">
        <f>'Blended Fin'!I30</f>
        <v>0</v>
      </c>
      <c r="J11" s="113">
        <f>'Blended Fin'!J30</f>
        <v>0</v>
      </c>
      <c r="K11" s="113">
        <f>'Blended Fin'!K30</f>
        <v>0</v>
      </c>
      <c r="L11" s="113">
        <f>'Blended Fin'!L30</f>
        <v>0</v>
      </c>
      <c r="M11" s="69">
        <f t="shared" si="1"/>
        <v>0</v>
      </c>
    </row>
    <row r="12" spans="1:13" ht="12.75" customHeight="1" x14ac:dyDescent="0.2">
      <c r="A12" s="114" t="str">
        <f>"   "&amp;Labels!B138</f>
        <v xml:space="preserve">   Working Cap</v>
      </c>
      <c r="B12" s="113">
        <f>'Blended Fin'!B31</f>
        <v>0</v>
      </c>
      <c r="C12" s="69">
        <f>'Blended Fin'!B31</f>
        <v>0</v>
      </c>
      <c r="D12" s="113">
        <f>'Blended Fin'!D31</f>
        <v>0</v>
      </c>
      <c r="E12" s="113">
        <f>'Blended Fin'!E31</f>
        <v>0</v>
      </c>
      <c r="F12" s="113">
        <f>'Blended Fin'!F31</f>
        <v>0</v>
      </c>
      <c r="G12" s="113">
        <f>'Blended Fin'!G31</f>
        <v>0</v>
      </c>
      <c r="H12" s="69">
        <f t="shared" si="0"/>
        <v>0</v>
      </c>
      <c r="I12" s="113">
        <f>'Blended Fin'!I31</f>
        <v>0</v>
      </c>
      <c r="J12" s="113">
        <f>'Blended Fin'!J31</f>
        <v>0</v>
      </c>
      <c r="K12" s="113">
        <f>'Blended Fin'!K31</f>
        <v>0</v>
      </c>
      <c r="L12" s="113">
        <f>'Blended Fin'!L31</f>
        <v>0</v>
      </c>
      <c r="M12" s="69">
        <f t="shared" si="1"/>
        <v>0</v>
      </c>
    </row>
    <row r="13" spans="1:13" ht="12.75" customHeight="1" x14ac:dyDescent="0.2">
      <c r="A13" s="114" t="str">
        <f>"   "&amp;Labels!B139</f>
        <v xml:space="preserve">   Debt Principal</v>
      </c>
      <c r="B13" s="113">
        <f>'Blended Fin'!B32</f>
        <v>0</v>
      </c>
      <c r="C13" s="69">
        <f>'Blended Fin'!B32</f>
        <v>0</v>
      </c>
      <c r="D13" s="113">
        <f>'Blended Fin'!D32</f>
        <v>0</v>
      </c>
      <c r="E13" s="113">
        <f>'Blended Fin'!E32</f>
        <v>0</v>
      </c>
      <c r="F13" s="113">
        <f>'Blended Fin'!F32</f>
        <v>0</v>
      </c>
      <c r="G13" s="113">
        <f>'Blended Fin'!G32</f>
        <v>0</v>
      </c>
      <c r="H13" s="69">
        <f t="shared" si="0"/>
        <v>0</v>
      </c>
      <c r="I13" s="113">
        <f>'Blended Fin'!I32</f>
        <v>0</v>
      </c>
      <c r="J13" s="113">
        <f>'Blended Fin'!J32</f>
        <v>0</v>
      </c>
      <c r="K13" s="113">
        <f>'Blended Fin'!K32</f>
        <v>0</v>
      </c>
      <c r="L13" s="113">
        <f>'Blended Fin'!L32</f>
        <v>0</v>
      </c>
      <c r="M13" s="69">
        <f t="shared" si="1"/>
        <v>0</v>
      </c>
    </row>
    <row r="14" spans="1:13" ht="12.75" customHeight="1" x14ac:dyDescent="0.2">
      <c r="A14" s="114" t="str">
        <f>"   "&amp;Labels!B140</f>
        <v xml:space="preserve">   Interest Pay</v>
      </c>
      <c r="B14" s="113">
        <f>'Blended Fin'!B33</f>
        <v>0</v>
      </c>
      <c r="C14" s="69">
        <f>'Blended Fin'!B33</f>
        <v>0</v>
      </c>
      <c r="D14" s="113">
        <f>'Blended Fin'!D33</f>
        <v>0</v>
      </c>
      <c r="E14" s="113">
        <f>'Blended Fin'!E33</f>
        <v>0</v>
      </c>
      <c r="F14" s="113">
        <f>'Blended Fin'!F33</f>
        <v>0</v>
      </c>
      <c r="G14" s="113">
        <f>'Blended Fin'!G33</f>
        <v>0</v>
      </c>
      <c r="H14" s="69">
        <f t="shared" si="0"/>
        <v>0</v>
      </c>
      <c r="I14" s="113">
        <f>'Blended Fin'!I33</f>
        <v>0</v>
      </c>
      <c r="J14" s="113">
        <f>'Blended Fin'!J33</f>
        <v>0</v>
      </c>
      <c r="K14" s="113">
        <f>'Blended Fin'!K33</f>
        <v>0</v>
      </c>
      <c r="L14" s="113">
        <f>'Blended Fin'!L33</f>
        <v>0</v>
      </c>
      <c r="M14" s="69">
        <f t="shared" si="1"/>
        <v>0</v>
      </c>
    </row>
    <row r="15" spans="1:13" ht="12.75" customHeight="1" x14ac:dyDescent="0.2">
      <c r="A15" s="114" t="str">
        <f>"   "&amp;Labels!B141</f>
        <v xml:space="preserve">   Lease Pay</v>
      </c>
      <c r="B15" s="113">
        <f>'Blended Fin'!B34</f>
        <v>0</v>
      </c>
      <c r="C15" s="69">
        <f>'Blended Fin'!B34</f>
        <v>0</v>
      </c>
      <c r="D15" s="113">
        <f>'Blended Fin'!D34</f>
        <v>0</v>
      </c>
      <c r="E15" s="113">
        <f>'Blended Fin'!E34</f>
        <v>0</v>
      </c>
      <c r="F15" s="113">
        <f>'Blended Fin'!F34</f>
        <v>0</v>
      </c>
      <c r="G15" s="113">
        <f>'Blended Fin'!G34</f>
        <v>0</v>
      </c>
      <c r="H15" s="69">
        <f t="shared" si="0"/>
        <v>0</v>
      </c>
      <c r="I15" s="113">
        <f>'Blended Fin'!I34</f>
        <v>0</v>
      </c>
      <c r="J15" s="113">
        <f>'Blended Fin'!J34</f>
        <v>0</v>
      </c>
      <c r="K15" s="113">
        <f>'Blended Fin'!K34</f>
        <v>0</v>
      </c>
      <c r="L15" s="113">
        <f>'Blended Fin'!L34</f>
        <v>0</v>
      </c>
      <c r="M15" s="69">
        <f t="shared" si="1"/>
        <v>0</v>
      </c>
    </row>
    <row r="16" spans="1:13" ht="12.75" customHeight="1" x14ac:dyDescent="0.2">
      <c r="A16" s="114" t="str">
        <f>"   "&amp;Labels!B142</f>
        <v xml:space="preserve">   Income Tax</v>
      </c>
      <c r="B16" s="113">
        <f>'Blended Fin'!B35</f>
        <v>0</v>
      </c>
      <c r="C16" s="69">
        <f>'Blended Fin'!B35</f>
        <v>0</v>
      </c>
      <c r="D16" s="113">
        <f>'Blended Fin'!D35</f>
        <v>0</v>
      </c>
      <c r="E16" s="113">
        <f>'Blended Fin'!E35</f>
        <v>0</v>
      </c>
      <c r="F16" s="113">
        <f>'Blended Fin'!F35</f>
        <v>0</v>
      </c>
      <c r="G16" s="113">
        <f>'Blended Fin'!G35</f>
        <v>0</v>
      </c>
      <c r="H16" s="69">
        <f t="shared" si="0"/>
        <v>0</v>
      </c>
      <c r="I16" s="113">
        <f>'Blended Fin'!I35</f>
        <v>0</v>
      </c>
      <c r="J16" s="113">
        <f>'Blended Fin'!J35</f>
        <v>0</v>
      </c>
      <c r="K16" s="113">
        <f>'Blended Fin'!K35</f>
        <v>0</v>
      </c>
      <c r="L16" s="113">
        <f>'Blended Fin'!L35</f>
        <v>0</v>
      </c>
      <c r="M16" s="69">
        <f t="shared" si="1"/>
        <v>0</v>
      </c>
    </row>
    <row r="17" spans="1:13" ht="12.75" customHeight="1" x14ac:dyDescent="0.2">
      <c r="A17" s="121" t="str">
        <f>"   "&amp;Labels!C134</f>
        <v xml:space="preserve">   Total</v>
      </c>
      <c r="B17" s="132">
        <f>SUM(B9:B16)</f>
        <v>0</v>
      </c>
      <c r="C17" s="70">
        <f>SUM(B9:B16)</f>
        <v>0</v>
      </c>
      <c r="D17" s="132">
        <f>SUM(D9:D16)</f>
        <v>0</v>
      </c>
      <c r="E17" s="132">
        <f>SUM(E9:E16)</f>
        <v>0</v>
      </c>
      <c r="F17" s="132">
        <f>SUM(F9:F16)</f>
        <v>0</v>
      </c>
      <c r="G17" s="132">
        <f>SUM(G9:G16)</f>
        <v>0</v>
      </c>
      <c r="H17" s="70">
        <f t="shared" si="0"/>
        <v>0</v>
      </c>
      <c r="I17" s="132">
        <f>SUM(I9:I16)</f>
        <v>0</v>
      </c>
      <c r="J17" s="132">
        <f>SUM(J9:J16)</f>
        <v>0</v>
      </c>
      <c r="K17" s="132">
        <f>SUM(K9:K16)</f>
        <v>0</v>
      </c>
      <c r="L17" s="132">
        <f>SUM(L9:L16)</f>
        <v>0</v>
      </c>
      <c r="M17" s="70">
        <f t="shared" si="1"/>
        <v>0</v>
      </c>
    </row>
    <row r="19" spans="1:13" ht="12.75" customHeight="1" x14ac:dyDescent="0.2">
      <c r="A19" s="272" t="str">
        <f>"Cash Flow - Fixed Investment"</f>
        <v>Cash Flow - Fixed Investment</v>
      </c>
      <c r="B19" s="272"/>
    </row>
    <row r="20" spans="1:13" ht="12.75" hidden="1" customHeight="1" outlineLevel="1" x14ac:dyDescent="0.2">
      <c r="A20" s="272" t="str">
        <f>""</f>
        <v/>
      </c>
      <c r="B20" s="272"/>
    </row>
    <row r="21" spans="1:13" ht="12.75" hidden="1" customHeight="1" outlineLevel="1" x14ac:dyDescent="0.2">
      <c r="B21" s="17" t="str">
        <f>'(FnCalls 1)'!G6</f>
        <v>Q4 2010</v>
      </c>
      <c r="C21" s="62" t="str">
        <f>'(FnCalls 1)'!H4</f>
        <v>2010</v>
      </c>
      <c r="D21" s="18" t="str">
        <f>'(FnCalls 1)'!G7</f>
        <v>Q1 2011</v>
      </c>
      <c r="E21" s="18" t="str">
        <f>'(FnCalls 1)'!G8</f>
        <v>Q2 2011</v>
      </c>
      <c r="F21" s="18" t="str">
        <f>'(FnCalls 1)'!G9</f>
        <v>Q3 2011</v>
      </c>
      <c r="G21" s="18" t="str">
        <f>'(FnCalls 1)'!G10</f>
        <v>Q4 2011</v>
      </c>
      <c r="H21" s="62" t="str">
        <f>'(FnCalls 1)'!H7</f>
        <v>2011</v>
      </c>
      <c r="I21" s="18" t="str">
        <f>'(FnCalls 1)'!G11</f>
        <v>Q1 2012</v>
      </c>
      <c r="J21" s="18" t="str">
        <f>'(FnCalls 1)'!G12</f>
        <v>Q2 2012</v>
      </c>
      <c r="K21" s="18" t="str">
        <f>'(FnCalls 1)'!G13</f>
        <v>Q3 2012</v>
      </c>
      <c r="L21" s="18" t="str">
        <f>'(FnCalls 1)'!G14</f>
        <v>Q4 2012</v>
      </c>
      <c r="M21" s="62" t="str">
        <f>'(FnCalls 1)'!H11</f>
        <v>2012</v>
      </c>
    </row>
    <row r="22" spans="1:13" ht="12.75" hidden="1" customHeight="1" outlineLevel="1" x14ac:dyDescent="0.2">
      <c r="A22" s="111" t="str">
        <f>Labels!B16</f>
        <v>Cash Flow - Fixed Invest</v>
      </c>
      <c r="B22" s="110"/>
      <c r="C22" s="75"/>
      <c r="D22" s="110"/>
      <c r="E22" s="110"/>
      <c r="F22" s="110"/>
      <c r="G22" s="110"/>
      <c r="H22" s="75"/>
      <c r="I22" s="110"/>
      <c r="J22" s="110"/>
      <c r="K22" s="110"/>
      <c r="L22" s="110"/>
      <c r="M22" s="75"/>
    </row>
    <row r="23" spans="1:13" ht="12.75" hidden="1" customHeight="1" outlineLevel="1" x14ac:dyDescent="0.2">
      <c r="A23" s="114" t="str">
        <f>"   "&amp;Labels!B166</f>
        <v xml:space="preserve">   Depreciable</v>
      </c>
      <c r="B23" s="113"/>
      <c r="C23" s="69"/>
      <c r="D23" s="113"/>
      <c r="E23" s="113"/>
      <c r="F23" s="113"/>
      <c r="G23" s="113"/>
      <c r="H23" s="69"/>
      <c r="I23" s="113"/>
      <c r="J23" s="113"/>
      <c r="K23" s="113"/>
      <c r="L23" s="113"/>
      <c r="M23" s="69"/>
    </row>
    <row r="24" spans="1:13" ht="12.75" hidden="1" customHeight="1" outlineLevel="1" x14ac:dyDescent="0.2">
      <c r="A24" s="144" t="str">
        <f>"      "&amp;Labels!B170</f>
        <v xml:space="preserve">      Invest 1</v>
      </c>
      <c r="B24" s="116">
        <f>'Blended Fin'!B84</f>
        <v>0</v>
      </c>
      <c r="C24" s="69">
        <f>'Blended Fin'!B84</f>
        <v>0</v>
      </c>
      <c r="D24" s="116">
        <f>'Blended Fin'!D84</f>
        <v>0</v>
      </c>
      <c r="E24" s="116">
        <f>'Blended Fin'!E84</f>
        <v>0</v>
      </c>
      <c r="F24" s="116">
        <f>'Blended Fin'!F84</f>
        <v>0</v>
      </c>
      <c r="G24" s="116">
        <f>'Blended Fin'!G84</f>
        <v>0</v>
      </c>
      <c r="H24" s="69">
        <f>SUM(D24:G24)</f>
        <v>0</v>
      </c>
      <c r="I24" s="116">
        <f>'Blended Fin'!I84</f>
        <v>0</v>
      </c>
      <c r="J24" s="116">
        <f>'Blended Fin'!J84</f>
        <v>0</v>
      </c>
      <c r="K24" s="116">
        <f>'Blended Fin'!K84</f>
        <v>0</v>
      </c>
      <c r="L24" s="116">
        <f>'Blended Fin'!L84</f>
        <v>0</v>
      </c>
      <c r="M24" s="69">
        <f>SUM(I24:L24)</f>
        <v>0</v>
      </c>
    </row>
    <row r="25" spans="1:13" ht="12.75" hidden="1" customHeight="1" outlineLevel="1" x14ac:dyDescent="0.2">
      <c r="A25" s="144" t="str">
        <f>"      "&amp;Labels!B171</f>
        <v xml:space="preserve">      Invest 2</v>
      </c>
      <c r="B25" s="116">
        <f>'Blended Fin'!B85</f>
        <v>0</v>
      </c>
      <c r="C25" s="69">
        <f>'Blended Fin'!B85</f>
        <v>0</v>
      </c>
      <c r="D25" s="116">
        <f>'Blended Fin'!D85</f>
        <v>0</v>
      </c>
      <c r="E25" s="116">
        <f>'Blended Fin'!E85</f>
        <v>0</v>
      </c>
      <c r="F25" s="116">
        <f>'Blended Fin'!F85</f>
        <v>0</v>
      </c>
      <c r="G25" s="116">
        <f>'Blended Fin'!G85</f>
        <v>0</v>
      </c>
      <c r="H25" s="69">
        <f>SUM(D25:G25)</f>
        <v>0</v>
      </c>
      <c r="I25" s="116">
        <f>'Blended Fin'!I85</f>
        <v>0</v>
      </c>
      <c r="J25" s="116">
        <f>'Blended Fin'!J85</f>
        <v>0</v>
      </c>
      <c r="K25" s="116">
        <f>'Blended Fin'!K85</f>
        <v>0</v>
      </c>
      <c r="L25" s="116">
        <f>'Blended Fin'!L85</f>
        <v>0</v>
      </c>
      <c r="M25" s="69">
        <f>SUM(I25:L25)</f>
        <v>0</v>
      </c>
    </row>
    <row r="26" spans="1:13" ht="12.75" hidden="1" customHeight="1" outlineLevel="1" x14ac:dyDescent="0.2">
      <c r="A26" s="114" t="str">
        <f>"      "&amp;Labels!C169</f>
        <v xml:space="preserve">      Total</v>
      </c>
      <c r="B26" s="113">
        <f>SUM(B24:B25)</f>
        <v>0</v>
      </c>
      <c r="C26" s="69">
        <f>SUM(B24:B25)</f>
        <v>0</v>
      </c>
      <c r="D26" s="113">
        <f>SUM(D24:D25)</f>
        <v>0</v>
      </c>
      <c r="E26" s="113">
        <f>SUM(E24:E25)</f>
        <v>0</v>
      </c>
      <c r="F26" s="113">
        <f>SUM(F24:F25)</f>
        <v>0</v>
      </c>
      <c r="G26" s="113">
        <f>SUM(G24:G25)</f>
        <v>0</v>
      </c>
      <c r="H26" s="69">
        <f>SUM(D26:G26)</f>
        <v>0</v>
      </c>
      <c r="I26" s="113">
        <f>SUM(I24:I25)</f>
        <v>0</v>
      </c>
      <c r="J26" s="113">
        <f>SUM(J24:J25)</f>
        <v>0</v>
      </c>
      <c r="K26" s="113">
        <f>SUM(K24:K25)</f>
        <v>0</v>
      </c>
      <c r="L26" s="113">
        <f>SUM(L24:L25)</f>
        <v>0</v>
      </c>
      <c r="M26" s="69">
        <f>SUM(I26:L26)</f>
        <v>0</v>
      </c>
    </row>
    <row r="27" spans="1:13" ht="12.75" hidden="1" customHeight="1" outlineLevel="1" x14ac:dyDescent="0.2">
      <c r="A27" s="114" t="str">
        <f>"   "&amp;Labels!B167</f>
        <v xml:space="preserve">   Non-Deprec</v>
      </c>
      <c r="B27" s="113"/>
      <c r="C27" s="69"/>
      <c r="D27" s="113"/>
      <c r="E27" s="113"/>
      <c r="F27" s="113"/>
      <c r="G27" s="113"/>
      <c r="H27" s="69"/>
      <c r="I27" s="113"/>
      <c r="J27" s="113"/>
      <c r="K27" s="113"/>
      <c r="L27" s="113"/>
      <c r="M27" s="69"/>
    </row>
    <row r="28" spans="1:13" ht="12.75" hidden="1" customHeight="1" outlineLevel="1" x14ac:dyDescent="0.2">
      <c r="A28" s="144" t="str">
        <f>"      "&amp;Labels!B170</f>
        <v xml:space="preserve">      Invest 1</v>
      </c>
      <c r="B28" s="116">
        <f>'Blended Fin'!B88</f>
        <v>0</v>
      </c>
      <c r="C28" s="69">
        <f>'Blended Fin'!B88</f>
        <v>0</v>
      </c>
      <c r="D28" s="116">
        <f>'Blended Fin'!D88</f>
        <v>0</v>
      </c>
      <c r="E28" s="116">
        <f>'Blended Fin'!E88</f>
        <v>0</v>
      </c>
      <c r="F28" s="116">
        <f>'Blended Fin'!F88</f>
        <v>0</v>
      </c>
      <c r="G28" s="116">
        <f>'Blended Fin'!G88</f>
        <v>0</v>
      </c>
      <c r="H28" s="69">
        <f t="shared" ref="H28:H33" si="2">SUM(D28:G28)</f>
        <v>0</v>
      </c>
      <c r="I28" s="116">
        <f>'Blended Fin'!I88</f>
        <v>0</v>
      </c>
      <c r="J28" s="116">
        <f>'Blended Fin'!J88</f>
        <v>0</v>
      </c>
      <c r="K28" s="116">
        <f>'Blended Fin'!K88</f>
        <v>0</v>
      </c>
      <c r="L28" s="116">
        <f>'Blended Fin'!L88</f>
        <v>0</v>
      </c>
      <c r="M28" s="69">
        <f t="shared" ref="M28:M33" si="3">SUM(I28:L28)</f>
        <v>0</v>
      </c>
    </row>
    <row r="29" spans="1:13" ht="12.75" hidden="1" customHeight="1" outlineLevel="1" x14ac:dyDescent="0.2">
      <c r="A29" s="144" t="str">
        <f>"      "&amp;Labels!B171</f>
        <v xml:space="preserve">      Invest 2</v>
      </c>
      <c r="B29" s="116">
        <f>'Blended Fin'!B89</f>
        <v>0</v>
      </c>
      <c r="C29" s="69">
        <f>'Blended Fin'!B89</f>
        <v>0</v>
      </c>
      <c r="D29" s="116">
        <f>'Blended Fin'!D89</f>
        <v>0</v>
      </c>
      <c r="E29" s="116">
        <f>'Blended Fin'!E89</f>
        <v>0</v>
      </c>
      <c r="F29" s="116">
        <f>'Blended Fin'!F89</f>
        <v>0</v>
      </c>
      <c r="G29" s="116">
        <f>'Blended Fin'!G89</f>
        <v>0</v>
      </c>
      <c r="H29" s="69">
        <f t="shared" si="2"/>
        <v>0</v>
      </c>
      <c r="I29" s="116">
        <f>'Blended Fin'!I89</f>
        <v>0</v>
      </c>
      <c r="J29" s="116">
        <f>'Blended Fin'!J89</f>
        <v>0</v>
      </c>
      <c r="K29" s="116">
        <f>'Blended Fin'!K89</f>
        <v>0</v>
      </c>
      <c r="L29" s="116">
        <f>'Blended Fin'!L89</f>
        <v>0</v>
      </c>
      <c r="M29" s="69">
        <f t="shared" si="3"/>
        <v>0</v>
      </c>
    </row>
    <row r="30" spans="1:13" ht="12.75" hidden="1" customHeight="1" outlineLevel="1" x14ac:dyDescent="0.2">
      <c r="A30" s="114" t="str">
        <f>"      "&amp;Labels!C169</f>
        <v xml:space="preserve">      Total</v>
      </c>
      <c r="B30" s="113">
        <f>SUM(B28:B29)</f>
        <v>0</v>
      </c>
      <c r="C30" s="69">
        <f>SUM(B28:B29)</f>
        <v>0</v>
      </c>
      <c r="D30" s="113">
        <f>SUM(D28:D29)</f>
        <v>0</v>
      </c>
      <c r="E30" s="113">
        <f>SUM(E28:E29)</f>
        <v>0</v>
      </c>
      <c r="F30" s="113">
        <f>SUM(F28:F29)</f>
        <v>0</v>
      </c>
      <c r="G30" s="113">
        <f>SUM(G28:G29)</f>
        <v>0</v>
      </c>
      <c r="H30" s="69">
        <f t="shared" si="2"/>
        <v>0</v>
      </c>
      <c r="I30" s="113">
        <f>SUM(I28:I29)</f>
        <v>0</v>
      </c>
      <c r="J30" s="113">
        <f>SUM(J28:J29)</f>
        <v>0</v>
      </c>
      <c r="K30" s="113">
        <f>SUM(K28:K29)</f>
        <v>0</v>
      </c>
      <c r="L30" s="113">
        <f>SUM(L28:L29)</f>
        <v>0</v>
      </c>
      <c r="M30" s="69">
        <f t="shared" si="3"/>
        <v>0</v>
      </c>
    </row>
    <row r="31" spans="1:13" ht="12.75" hidden="1" customHeight="1" outlineLevel="1" x14ac:dyDescent="0.2">
      <c r="A31" s="117" t="str">
        <f>"   "&amp;Labels!C165</f>
        <v xml:space="preserve">   Total</v>
      </c>
      <c r="B31" s="120">
        <f>SUM(B26,B30)</f>
        <v>0</v>
      </c>
      <c r="C31" s="69">
        <f>SUM(B26,B30)</f>
        <v>0</v>
      </c>
      <c r="D31" s="120">
        <f>SUM(D26,D30)</f>
        <v>0</v>
      </c>
      <c r="E31" s="120">
        <f>SUM(E26,E30)</f>
        <v>0</v>
      </c>
      <c r="F31" s="120">
        <f>SUM(F26,F30)</f>
        <v>0</v>
      </c>
      <c r="G31" s="120">
        <f>SUM(G26,G30)</f>
        <v>0</v>
      </c>
      <c r="H31" s="69">
        <f t="shared" si="2"/>
        <v>0</v>
      </c>
      <c r="I31" s="120">
        <f>SUM(I26,I30)</f>
        <v>0</v>
      </c>
      <c r="J31" s="120">
        <f>SUM(J26,J30)</f>
        <v>0</v>
      </c>
      <c r="K31" s="120">
        <f>SUM(K26,K30)</f>
        <v>0</v>
      </c>
      <c r="L31" s="120">
        <f>SUM(L26,L30)</f>
        <v>0</v>
      </c>
      <c r="M31" s="69">
        <f t="shared" si="3"/>
        <v>0</v>
      </c>
    </row>
    <row r="32" spans="1:13" ht="12.75" hidden="1" customHeight="1" outlineLevel="1" x14ac:dyDescent="0.2">
      <c r="A32" s="144" t="str">
        <f>"      "&amp;Labels!B170</f>
        <v xml:space="preserve">      Invest 1</v>
      </c>
      <c r="B32" s="116">
        <f>SUM(B24,B28)</f>
        <v>0</v>
      </c>
      <c r="C32" s="69">
        <f>SUM(B24,B28)</f>
        <v>0</v>
      </c>
      <c r="D32" s="116">
        <f t="shared" ref="D32:G34" si="4">SUM(D24,D28)</f>
        <v>0</v>
      </c>
      <c r="E32" s="116">
        <f t="shared" si="4"/>
        <v>0</v>
      </c>
      <c r="F32" s="116">
        <f t="shared" si="4"/>
        <v>0</v>
      </c>
      <c r="G32" s="116">
        <f t="shared" si="4"/>
        <v>0</v>
      </c>
      <c r="H32" s="69">
        <f t="shared" si="2"/>
        <v>0</v>
      </c>
      <c r="I32" s="116">
        <f t="shared" ref="I32:L34" si="5">SUM(I24,I28)</f>
        <v>0</v>
      </c>
      <c r="J32" s="116">
        <f t="shared" si="5"/>
        <v>0</v>
      </c>
      <c r="K32" s="116">
        <f t="shared" si="5"/>
        <v>0</v>
      </c>
      <c r="L32" s="116">
        <f t="shared" si="5"/>
        <v>0</v>
      </c>
      <c r="M32" s="69">
        <f t="shared" si="3"/>
        <v>0</v>
      </c>
    </row>
    <row r="33" spans="1:13" ht="12.75" hidden="1" customHeight="1" outlineLevel="1" x14ac:dyDescent="0.2">
      <c r="A33" s="144" t="str">
        <f>"      "&amp;Labels!B171</f>
        <v xml:space="preserve">      Invest 2</v>
      </c>
      <c r="B33" s="116">
        <f>SUM(B25,B29)</f>
        <v>0</v>
      </c>
      <c r="C33" s="69">
        <f>SUM(B25,B29)</f>
        <v>0</v>
      </c>
      <c r="D33" s="116">
        <f t="shared" si="4"/>
        <v>0</v>
      </c>
      <c r="E33" s="116">
        <f t="shared" si="4"/>
        <v>0</v>
      </c>
      <c r="F33" s="116">
        <f t="shared" si="4"/>
        <v>0</v>
      </c>
      <c r="G33" s="116">
        <f t="shared" si="4"/>
        <v>0</v>
      </c>
      <c r="H33" s="69">
        <f t="shared" si="2"/>
        <v>0</v>
      </c>
      <c r="I33" s="116">
        <f t="shared" si="5"/>
        <v>0</v>
      </c>
      <c r="J33" s="116">
        <f t="shared" si="5"/>
        <v>0</v>
      </c>
      <c r="K33" s="116">
        <f t="shared" si="5"/>
        <v>0</v>
      </c>
      <c r="L33" s="116">
        <f t="shared" si="5"/>
        <v>0</v>
      </c>
      <c r="M33" s="69">
        <f t="shared" si="3"/>
        <v>0</v>
      </c>
    </row>
    <row r="34" spans="1:13" ht="12.75" hidden="1" customHeight="1" outlineLevel="1" x14ac:dyDescent="0.2">
      <c r="A34" s="145" t="str">
        <f>"      "&amp;Labels!C169</f>
        <v xml:space="preserve">      Total</v>
      </c>
      <c r="B34" s="123">
        <f>SUM(B26,B30)</f>
        <v>0</v>
      </c>
      <c r="C34" s="70">
        <f>SUM(B26,B30)</f>
        <v>0</v>
      </c>
      <c r="D34" s="123">
        <f t="shared" si="4"/>
        <v>0</v>
      </c>
      <c r="E34" s="123">
        <f t="shared" si="4"/>
        <v>0</v>
      </c>
      <c r="F34" s="123">
        <f t="shared" si="4"/>
        <v>0</v>
      </c>
      <c r="G34" s="123">
        <f t="shared" si="4"/>
        <v>0</v>
      </c>
      <c r="H34" s="70">
        <f>SUM(D31:G31)</f>
        <v>0</v>
      </c>
      <c r="I34" s="123">
        <f t="shared" si="5"/>
        <v>0</v>
      </c>
      <c r="J34" s="123">
        <f t="shared" si="5"/>
        <v>0</v>
      </c>
      <c r="K34" s="123">
        <f t="shared" si="5"/>
        <v>0</v>
      </c>
      <c r="L34" s="123">
        <f t="shared" si="5"/>
        <v>0</v>
      </c>
      <c r="M34" s="70">
        <f>SUM(I31:L31)</f>
        <v>0</v>
      </c>
    </row>
    <row r="35" spans="1:13" ht="12.75" hidden="1" customHeight="1" outlineLevel="1" x14ac:dyDescent="0.2"/>
    <row r="36" spans="1:13" ht="12.75" hidden="1" customHeight="1" outlineLevel="1" collapsed="1" x14ac:dyDescent="0.2"/>
    <row r="37" spans="1:13" ht="12.75" customHeight="1" collapsed="1" x14ac:dyDescent="0.2">
      <c r="A37" s="272" t="str">
        <f>"Cash Flow - Working Capital"</f>
        <v>Cash Flow - Working Capital</v>
      </c>
      <c r="B37" s="272"/>
    </row>
    <row r="38" spans="1:13" ht="12.75" hidden="1" customHeight="1" outlineLevel="1" x14ac:dyDescent="0.2">
      <c r="A38" s="272" t="str">
        <f>""</f>
        <v/>
      </c>
      <c r="B38" s="272"/>
    </row>
    <row r="39" spans="1:13" ht="12.75" hidden="1" customHeight="1" outlineLevel="1" x14ac:dyDescent="0.2">
      <c r="B39" s="17" t="str">
        <f>'(FnCalls 1)'!G6</f>
        <v>Q4 2010</v>
      </c>
      <c r="C39" s="62" t="str">
        <f>'(FnCalls 1)'!H4</f>
        <v>2010</v>
      </c>
      <c r="D39" s="18" t="str">
        <f>'(FnCalls 1)'!G7</f>
        <v>Q1 2011</v>
      </c>
      <c r="E39" s="18" t="str">
        <f>'(FnCalls 1)'!G8</f>
        <v>Q2 2011</v>
      </c>
      <c r="F39" s="18" t="str">
        <f>'(FnCalls 1)'!G9</f>
        <v>Q3 2011</v>
      </c>
      <c r="G39" s="18" t="str">
        <f>'(FnCalls 1)'!G10</f>
        <v>Q4 2011</v>
      </c>
      <c r="H39" s="62" t="str">
        <f>'(FnCalls 1)'!H7</f>
        <v>2011</v>
      </c>
      <c r="I39" s="18" t="str">
        <f>'(FnCalls 1)'!G11</f>
        <v>Q1 2012</v>
      </c>
      <c r="J39" s="18" t="str">
        <f>'(FnCalls 1)'!G12</f>
        <v>Q2 2012</v>
      </c>
      <c r="K39" s="18" t="str">
        <f>'(FnCalls 1)'!G13</f>
        <v>Q3 2012</v>
      </c>
      <c r="L39" s="18" t="str">
        <f>'(FnCalls 1)'!G14</f>
        <v>Q4 2012</v>
      </c>
      <c r="M39" s="62" t="str">
        <f>'(FnCalls 1)'!H11</f>
        <v>2012</v>
      </c>
    </row>
    <row r="40" spans="1:13" ht="12.75" hidden="1" customHeight="1" outlineLevel="1" x14ac:dyDescent="0.2">
      <c r="A40" s="111" t="str">
        <f>Labels!B21</f>
        <v>Cash Flow - Working Cap</v>
      </c>
      <c r="B40" s="110"/>
      <c r="C40" s="75"/>
      <c r="D40" s="110"/>
      <c r="E40" s="110"/>
      <c r="F40" s="110"/>
      <c r="G40" s="110"/>
      <c r="H40" s="75"/>
      <c r="I40" s="110"/>
      <c r="J40" s="110"/>
      <c r="K40" s="110"/>
      <c r="L40" s="110"/>
      <c r="M40" s="75"/>
    </row>
    <row r="41" spans="1:13" ht="12.75" hidden="1" customHeight="1" outlineLevel="1" x14ac:dyDescent="0.2">
      <c r="A41" s="114" t="str">
        <f>"   "&amp;Labels!B190</f>
        <v xml:space="preserve">   Receivables</v>
      </c>
      <c r="B41" s="113">
        <f>'Equity Fin'!B123</f>
        <v>0</v>
      </c>
      <c r="C41" s="69">
        <f>'Equity Fin'!B123</f>
        <v>0</v>
      </c>
      <c r="D41" s="113">
        <f>'Equity Fin'!D123</f>
        <v>0</v>
      </c>
      <c r="E41" s="113">
        <f>'Equity Fin'!E123</f>
        <v>0</v>
      </c>
      <c r="F41" s="113">
        <f>'Equity Fin'!F123</f>
        <v>0</v>
      </c>
      <c r="G41" s="113">
        <f>'Equity Fin'!G123</f>
        <v>0</v>
      </c>
      <c r="H41" s="69">
        <f>SUM(D41:G41)</f>
        <v>0</v>
      </c>
      <c r="I41" s="113">
        <f>'Equity Fin'!I123</f>
        <v>0</v>
      </c>
      <c r="J41" s="113">
        <f>'Equity Fin'!J123</f>
        <v>0</v>
      </c>
      <c r="K41" s="113">
        <f>'Equity Fin'!K123</f>
        <v>0</v>
      </c>
      <c r="L41" s="113">
        <f>'Equity Fin'!L123</f>
        <v>0</v>
      </c>
      <c r="M41" s="69">
        <f>SUM(I41:L41)</f>
        <v>0</v>
      </c>
    </row>
    <row r="42" spans="1:13" ht="12.75" hidden="1" customHeight="1" outlineLevel="1" x14ac:dyDescent="0.2">
      <c r="A42" s="114" t="str">
        <f>"   "&amp;Labels!B191</f>
        <v xml:space="preserve">   Supplies inventory</v>
      </c>
      <c r="B42" s="113">
        <f>'Equity Fin'!B124</f>
        <v>0</v>
      </c>
      <c r="C42" s="69">
        <f>'Equity Fin'!B124</f>
        <v>0</v>
      </c>
      <c r="D42" s="113">
        <f>'Equity Fin'!D124</f>
        <v>0</v>
      </c>
      <c r="E42" s="113">
        <f>'Equity Fin'!E124</f>
        <v>0</v>
      </c>
      <c r="F42" s="113">
        <f>'Equity Fin'!F124</f>
        <v>0</v>
      </c>
      <c r="G42" s="113">
        <f>'Equity Fin'!G124</f>
        <v>0</v>
      </c>
      <c r="H42" s="69">
        <f>SUM(D42:G42)</f>
        <v>0</v>
      </c>
      <c r="I42" s="113">
        <f>'Equity Fin'!I124</f>
        <v>0</v>
      </c>
      <c r="J42" s="113">
        <f>'Equity Fin'!J124</f>
        <v>0</v>
      </c>
      <c r="K42" s="113">
        <f>'Equity Fin'!K124</f>
        <v>0</v>
      </c>
      <c r="L42" s="113">
        <f>'Equity Fin'!L124</f>
        <v>0</v>
      </c>
      <c r="M42" s="69">
        <f>SUM(I42:L42)</f>
        <v>0</v>
      </c>
    </row>
    <row r="43" spans="1:13" ht="12.75" hidden="1" customHeight="1" outlineLevel="1" x14ac:dyDescent="0.2">
      <c r="A43" s="117" t="str">
        <f>"   "&amp;Labels!C189</f>
        <v xml:space="preserve">   Total</v>
      </c>
      <c r="B43" s="120">
        <f>SUM(B41:B42)</f>
        <v>0</v>
      </c>
      <c r="C43" s="69">
        <f>SUM(B41:B42)</f>
        <v>0</v>
      </c>
      <c r="D43" s="120">
        <f>SUM(D41:D42)</f>
        <v>0</v>
      </c>
      <c r="E43" s="120">
        <f>SUM(E41:E42)</f>
        <v>0</v>
      </c>
      <c r="F43" s="120">
        <f>SUM(F41:F42)</f>
        <v>0</v>
      </c>
      <c r="G43" s="120">
        <f>SUM(G41:G42)</f>
        <v>0</v>
      </c>
      <c r="H43" s="69">
        <f>SUM(D43:G43)</f>
        <v>0</v>
      </c>
      <c r="I43" s="120">
        <f>SUM(I41:I42)</f>
        <v>0</v>
      </c>
      <c r="J43" s="120">
        <f>SUM(J41:J42)</f>
        <v>0</v>
      </c>
      <c r="K43" s="120">
        <f>SUM(K41:K42)</f>
        <v>0</v>
      </c>
      <c r="L43" s="120">
        <f>SUM(L41:L42)</f>
        <v>0</v>
      </c>
      <c r="M43" s="69">
        <f>SUM(I43:L43)</f>
        <v>0</v>
      </c>
    </row>
    <row r="44" spans="1:13" ht="12.75" hidden="1" customHeight="1" outlineLevel="1" x14ac:dyDescent="0.2">
      <c r="A44" s="12"/>
      <c r="B44" s="10"/>
      <c r="C44" s="12"/>
      <c r="D44" s="10"/>
      <c r="E44" s="10"/>
      <c r="F44" s="10"/>
      <c r="G44" s="10"/>
      <c r="H44" s="12"/>
      <c r="I44" s="10"/>
      <c r="J44" s="10"/>
      <c r="K44" s="10"/>
      <c r="L44" s="10"/>
      <c r="M44" s="12"/>
    </row>
    <row r="45" spans="1:13" ht="12.75" hidden="1" customHeight="1" outlineLevel="1" x14ac:dyDescent="0.2">
      <c r="A45" s="117" t="str">
        <f>Labels!B131</f>
        <v>Working Capital</v>
      </c>
      <c r="B45" s="120"/>
      <c r="C45" s="69"/>
      <c r="D45" s="120"/>
      <c r="E45" s="120"/>
      <c r="F45" s="120"/>
      <c r="G45" s="120"/>
      <c r="H45" s="69"/>
      <c r="I45" s="120"/>
      <c r="J45" s="120"/>
      <c r="K45" s="120"/>
      <c r="L45" s="120"/>
      <c r="M45" s="69"/>
    </row>
    <row r="46" spans="1:13" ht="12.75" hidden="1" customHeight="1" outlineLevel="1" x14ac:dyDescent="0.2">
      <c r="A46" s="114" t="str">
        <f>"   "&amp;Labels!B190</f>
        <v xml:space="preserve">   Receivables</v>
      </c>
      <c r="B46" s="113">
        <f>Investment!B75</f>
        <v>0</v>
      </c>
      <c r="C46" s="69">
        <f>Investment!B75</f>
        <v>0</v>
      </c>
      <c r="D46" s="113">
        <f>Investment!D75</f>
        <v>0</v>
      </c>
      <c r="E46" s="113">
        <f>Investment!E75</f>
        <v>0</v>
      </c>
      <c r="F46" s="113">
        <f>Investment!F75</f>
        <v>0</v>
      </c>
      <c r="G46" s="113">
        <f>Investment!G75</f>
        <v>0</v>
      </c>
      <c r="H46" s="69">
        <f>Investment!G75</f>
        <v>0</v>
      </c>
      <c r="I46" s="113">
        <f>Investment!I75</f>
        <v>0</v>
      </c>
      <c r="J46" s="113">
        <f>Investment!J75</f>
        <v>0</v>
      </c>
      <c r="K46" s="113">
        <f>Investment!K75</f>
        <v>0</v>
      </c>
      <c r="L46" s="113">
        <f>Investment!L75</f>
        <v>0</v>
      </c>
      <c r="M46" s="69">
        <f>Investment!L75</f>
        <v>0</v>
      </c>
    </row>
    <row r="47" spans="1:13" ht="12.75" hidden="1" customHeight="1" outlineLevel="1" x14ac:dyDescent="0.2">
      <c r="A47" s="114" t="str">
        <f>"   "&amp;Labels!B191</f>
        <v xml:space="preserve">   Supplies inventory</v>
      </c>
      <c r="B47" s="113">
        <f>Investment!B76</f>
        <v>0</v>
      </c>
      <c r="C47" s="69">
        <f>Investment!B76</f>
        <v>0</v>
      </c>
      <c r="D47" s="113">
        <f>Investment!D76</f>
        <v>0</v>
      </c>
      <c r="E47" s="113">
        <f>Investment!E76</f>
        <v>0</v>
      </c>
      <c r="F47" s="113">
        <f>Investment!F76</f>
        <v>0</v>
      </c>
      <c r="G47" s="113">
        <f>Investment!G76</f>
        <v>0</v>
      </c>
      <c r="H47" s="69">
        <f>Investment!G76</f>
        <v>0</v>
      </c>
      <c r="I47" s="113">
        <f>Investment!I76</f>
        <v>0</v>
      </c>
      <c r="J47" s="113">
        <f>Investment!J76</f>
        <v>0</v>
      </c>
      <c r="K47" s="113">
        <f>Investment!K76</f>
        <v>0</v>
      </c>
      <c r="L47" s="113">
        <f>Investment!L76</f>
        <v>0</v>
      </c>
      <c r="M47" s="69">
        <f>Investment!L76</f>
        <v>0</v>
      </c>
    </row>
    <row r="48" spans="1:13" ht="12.75" hidden="1" customHeight="1" outlineLevel="1" x14ac:dyDescent="0.2">
      <c r="A48" s="121" t="str">
        <f>"   "&amp;Labels!C189</f>
        <v xml:space="preserve">   Total</v>
      </c>
      <c r="B48" s="132">
        <f>SUM(B46:B47)</f>
        <v>0</v>
      </c>
      <c r="C48" s="70">
        <f>SUM(B46:B47)</f>
        <v>0</v>
      </c>
      <c r="D48" s="132">
        <f>SUM(D46:D47)</f>
        <v>0</v>
      </c>
      <c r="E48" s="132">
        <f>SUM(E46:E47)</f>
        <v>0</v>
      </c>
      <c r="F48" s="132">
        <f>SUM(F46:F47)</f>
        <v>0</v>
      </c>
      <c r="G48" s="132">
        <f>SUM(G46:G47)</f>
        <v>0</v>
      </c>
      <c r="H48" s="70">
        <f>SUM(G46:G47)</f>
        <v>0</v>
      </c>
      <c r="I48" s="132">
        <f>SUM(I46:I47)</f>
        <v>0</v>
      </c>
      <c r="J48" s="132">
        <f>SUM(J46:J47)</f>
        <v>0</v>
      </c>
      <c r="K48" s="132">
        <f>SUM(K46:K47)</f>
        <v>0</v>
      </c>
      <c r="L48" s="132">
        <f>SUM(L46:L47)</f>
        <v>0</v>
      </c>
      <c r="M48" s="70">
        <f>SUM(L46:L47)</f>
        <v>0</v>
      </c>
    </row>
    <row r="49" spans="1:13" ht="12.75" hidden="1" customHeight="1" outlineLevel="1" x14ac:dyDescent="0.2"/>
    <row r="50" spans="1:13" ht="12.75" hidden="1" customHeight="1" outlineLevel="1" collapsed="1" x14ac:dyDescent="0.2"/>
    <row r="51" spans="1:13" ht="12.75" customHeight="1" collapsed="1" x14ac:dyDescent="0.2"/>
    <row r="53" spans="1:13" ht="12.75" customHeight="1" x14ac:dyDescent="0.2">
      <c r="A53" s="2" t="str">
        <f>"Valuation"</f>
        <v>Valuation</v>
      </c>
    </row>
    <row r="54" spans="1:13" ht="12.75" hidden="1" customHeight="1" outlineLevel="1" x14ac:dyDescent="0.2">
      <c r="A54" s="2" t="str">
        <f>""</f>
        <v/>
      </c>
    </row>
    <row r="55" spans="1:13" ht="12.75" hidden="1" customHeight="1" outlineLevel="1" x14ac:dyDescent="0.2">
      <c r="B55" s="17" t="str">
        <f>'(FnCalls 1)'!G6</f>
        <v>Q4 2010</v>
      </c>
      <c r="C55" s="62" t="str">
        <f>'(FnCalls 1)'!H4</f>
        <v>2010</v>
      </c>
      <c r="D55" s="18" t="str">
        <f>'(FnCalls 1)'!G7</f>
        <v>Q1 2011</v>
      </c>
      <c r="E55" s="18" t="str">
        <f>'(FnCalls 1)'!G8</f>
        <v>Q2 2011</v>
      </c>
      <c r="F55" s="18" t="str">
        <f>'(FnCalls 1)'!G9</f>
        <v>Q3 2011</v>
      </c>
      <c r="G55" s="18" t="str">
        <f>'(FnCalls 1)'!G10</f>
        <v>Q4 2011</v>
      </c>
      <c r="H55" s="62" t="str">
        <f>'(FnCalls 1)'!H7</f>
        <v>2011</v>
      </c>
      <c r="I55" s="18" t="str">
        <f>'(FnCalls 1)'!G11</f>
        <v>Q1 2012</v>
      </c>
      <c r="J55" s="18" t="str">
        <f>'(FnCalls 1)'!G12</f>
        <v>Q2 2012</v>
      </c>
      <c r="K55" s="18" t="str">
        <f>'(FnCalls 1)'!G13</f>
        <v>Q3 2012</v>
      </c>
      <c r="L55" s="18" t="str">
        <f>'(FnCalls 1)'!G14</f>
        <v>Q4 2012</v>
      </c>
      <c r="M55" s="62" t="str">
        <f>'(FnCalls 1)'!H11</f>
        <v>2012</v>
      </c>
    </row>
    <row r="56" spans="1:13" ht="12.75" hidden="1" customHeight="1" outlineLevel="1" x14ac:dyDescent="0.2">
      <c r="A56" s="111" t="str">
        <f>Labels!B123</f>
        <v>Valuation</v>
      </c>
      <c r="B56" s="110">
        <f>'EqF Subproject 2'!B55</f>
        <v>0</v>
      </c>
      <c r="C56" s="75">
        <f>'EqF Subproject 2'!B55</f>
        <v>0</v>
      </c>
      <c r="D56" s="110">
        <f>'EqF Subproject 2'!D55</f>
        <v>0</v>
      </c>
      <c r="E56" s="110">
        <f>'EqF Subproject 2'!E55</f>
        <v>0</v>
      </c>
      <c r="F56" s="110">
        <f>'EqF Subproject 2'!F55</f>
        <v>0</v>
      </c>
      <c r="G56" s="110">
        <f>'EqF Subproject 2'!G55</f>
        <v>0</v>
      </c>
      <c r="H56" s="75">
        <f>'EqF Subproject 2'!G55</f>
        <v>0</v>
      </c>
      <c r="I56" s="110">
        <f>'EqF Subproject 2'!I55</f>
        <v>0</v>
      </c>
      <c r="J56" s="110">
        <f>'EqF Subproject 2'!J55</f>
        <v>0</v>
      </c>
      <c r="K56" s="110">
        <f>'EqF Subproject 2'!K55</f>
        <v>0</v>
      </c>
      <c r="L56" s="110">
        <f>'EqF Subproject 2'!L55</f>
        <v>0</v>
      </c>
      <c r="M56" s="75">
        <f>'EqF Subproject 2'!L55</f>
        <v>0</v>
      </c>
    </row>
    <row r="57" spans="1:13" ht="12.75" hidden="1" customHeight="1" outlineLevel="1" x14ac:dyDescent="0.2">
      <c r="A57" s="12"/>
      <c r="B57" s="10"/>
      <c r="C57" s="12"/>
      <c r="D57" s="10"/>
      <c r="E57" s="10"/>
      <c r="F57" s="10"/>
      <c r="G57" s="10"/>
      <c r="H57" s="12"/>
      <c r="I57" s="10"/>
      <c r="J57" s="10"/>
      <c r="K57" s="10"/>
      <c r="L57" s="10"/>
      <c r="M57" s="12"/>
    </row>
    <row r="58" spans="1:13" ht="12.75" hidden="1" customHeight="1" outlineLevel="1" x14ac:dyDescent="0.2">
      <c r="B58" s="17" t="str">
        <f>Labels!B135</f>
        <v>EBITDA</v>
      </c>
      <c r="C58" s="18" t="str">
        <f>Labels!B136</f>
        <v>Fixed Invest</v>
      </c>
      <c r="D58" s="18" t="str">
        <f>Labels!B137</f>
        <v>Inv Tax Credit</v>
      </c>
      <c r="E58" s="18" t="str">
        <f>Labels!B138</f>
        <v>Working Cap</v>
      </c>
      <c r="F58" s="18" t="str">
        <f>Labels!B139</f>
        <v>Debt Principal</v>
      </c>
      <c r="G58" s="18" t="str">
        <f>Labels!B140</f>
        <v>Interest Pay</v>
      </c>
      <c r="H58" s="18" t="str">
        <f>Labels!B141</f>
        <v>Lease Pay</v>
      </c>
      <c r="I58" s="18" t="str">
        <f>Labels!B142</f>
        <v>Income Tax</v>
      </c>
      <c r="J58" s="62" t="str">
        <f>Labels!C134</f>
        <v>Total</v>
      </c>
    </row>
    <row r="59" spans="1:13" ht="12.75" hidden="1" customHeight="1" outlineLevel="1" x14ac:dyDescent="0.2">
      <c r="A59" s="111" t="str">
        <f>Labels!B92</f>
        <v>NPV</v>
      </c>
      <c r="B59" s="110">
        <f>'Blended Fin'!B214</f>
        <v>0</v>
      </c>
      <c r="C59" s="110">
        <f>'Blended Fin'!C214</f>
        <v>0</v>
      </c>
      <c r="D59" s="110">
        <f>'Blended Fin'!D214</f>
        <v>0</v>
      </c>
      <c r="E59" s="110">
        <f>'Blended Fin'!E214</f>
        <v>0</v>
      </c>
      <c r="F59" s="110">
        <f>'Blended Fin'!F214</f>
        <v>0</v>
      </c>
      <c r="G59" s="110">
        <f>'Blended Fin'!G214</f>
        <v>0</v>
      </c>
      <c r="H59" s="110">
        <f>'Blended Fin'!H214</f>
        <v>0</v>
      </c>
      <c r="I59" s="110">
        <f>'Blended Fin'!I214</f>
        <v>0</v>
      </c>
      <c r="J59" s="75">
        <f>SUM(B59:I59)</f>
        <v>0</v>
      </c>
    </row>
    <row r="60" spans="1:13" ht="12.75" hidden="1" customHeight="1" outlineLevel="1" x14ac:dyDescent="0.2">
      <c r="A60" s="12"/>
      <c r="B60" s="10"/>
      <c r="C60" s="10"/>
      <c r="D60" s="10"/>
      <c r="E60" s="10"/>
      <c r="F60" s="10"/>
      <c r="G60" s="10"/>
      <c r="H60" s="10"/>
      <c r="I60" s="10"/>
      <c r="J60" s="12"/>
    </row>
    <row r="61" spans="1:13" ht="12.75" hidden="1" customHeight="1" outlineLevel="1" x14ac:dyDescent="0.2">
      <c r="A61" s="12" t="str">
        <f>Labels!B118</f>
        <v>Tail NPV</v>
      </c>
      <c r="B61" s="108">
        <f>'Blended Fin'!B219</f>
        <v>0</v>
      </c>
    </row>
    <row r="62" spans="1:13" ht="12.75" hidden="1" customHeight="1" outlineLevel="1" x14ac:dyDescent="0.2"/>
    <row r="63" spans="1:13" ht="12.75" hidden="1" customHeight="1" outlineLevel="1" x14ac:dyDescent="0.2">
      <c r="A63" s="3" t="str">
        <f>"Discounted Cash Flow"</f>
        <v>Discounted Cash Flow</v>
      </c>
    </row>
    <row r="64" spans="1:13" ht="12.75" hidden="1" customHeight="1" outlineLevel="2" x14ac:dyDescent="0.2">
      <c r="A64" s="3" t="str">
        <f>" "</f>
        <v xml:space="preserve"> </v>
      </c>
    </row>
    <row r="65" spans="1:13" ht="12.75" hidden="1" customHeight="1" outlineLevel="2" x14ac:dyDescent="0.2">
      <c r="B65" s="17" t="str">
        <f>'(FnCalls 1)'!G6</f>
        <v>Q4 2010</v>
      </c>
      <c r="C65" s="62" t="str">
        <f>'(FnCalls 1)'!H4</f>
        <v>2010</v>
      </c>
      <c r="D65" s="18" t="str">
        <f>'(FnCalls 1)'!G7</f>
        <v>Q1 2011</v>
      </c>
      <c r="E65" s="18" t="str">
        <f>'(FnCalls 1)'!G8</f>
        <v>Q2 2011</v>
      </c>
      <c r="F65" s="18" t="str">
        <f>'(FnCalls 1)'!G9</f>
        <v>Q3 2011</v>
      </c>
      <c r="G65" s="18" t="str">
        <f>'(FnCalls 1)'!G10</f>
        <v>Q4 2011</v>
      </c>
      <c r="H65" s="62" t="str">
        <f>'(FnCalls 1)'!H7</f>
        <v>2011</v>
      </c>
      <c r="I65" s="18" t="str">
        <f>'(FnCalls 1)'!G11</f>
        <v>Q1 2012</v>
      </c>
      <c r="J65" s="18" t="str">
        <f>'(FnCalls 1)'!G12</f>
        <v>Q2 2012</v>
      </c>
      <c r="K65" s="18" t="str">
        <f>'(FnCalls 1)'!G13</f>
        <v>Q3 2012</v>
      </c>
      <c r="L65" s="18" t="str">
        <f>'(FnCalls 1)'!G14</f>
        <v>Q4 2012</v>
      </c>
      <c r="M65" s="62" t="str">
        <f>'(FnCalls 1)'!H11</f>
        <v>2012</v>
      </c>
    </row>
    <row r="66" spans="1:13" ht="12.75" hidden="1" customHeight="1" outlineLevel="2" x14ac:dyDescent="0.2">
      <c r="A66" s="111" t="str">
        <f>Labels!B25</f>
        <v>Discounted Cash Flow</v>
      </c>
      <c r="B66" s="110"/>
      <c r="C66" s="75"/>
      <c r="D66" s="110"/>
      <c r="E66" s="110"/>
      <c r="F66" s="110"/>
      <c r="G66" s="110"/>
      <c r="H66" s="75"/>
      <c r="I66" s="110"/>
      <c r="J66" s="110"/>
      <c r="K66" s="110"/>
      <c r="L66" s="110"/>
      <c r="M66" s="75"/>
    </row>
    <row r="67" spans="1:13" ht="12.75" hidden="1" customHeight="1" outlineLevel="2" x14ac:dyDescent="0.2">
      <c r="A67" s="114" t="str">
        <f>"   "&amp;Labels!B135</f>
        <v xml:space="preserve">   EBITDA</v>
      </c>
      <c r="B67" s="113">
        <f>'Blended Fin'!B168</f>
        <v>0</v>
      </c>
      <c r="C67" s="69">
        <f>'Blended Fin'!B168</f>
        <v>0</v>
      </c>
      <c r="D67" s="113">
        <f>'Blended Fin'!D168</f>
        <v>0</v>
      </c>
      <c r="E67" s="113">
        <f>'Blended Fin'!E168</f>
        <v>0</v>
      </c>
      <c r="F67" s="113">
        <f>'Blended Fin'!F168</f>
        <v>0</v>
      </c>
      <c r="G67" s="113">
        <f>'Blended Fin'!G168</f>
        <v>0</v>
      </c>
      <c r="H67" s="69">
        <f t="shared" ref="H67:H75" si="6">SUM(D67:G67)</f>
        <v>0</v>
      </c>
      <c r="I67" s="113">
        <f>'Blended Fin'!I168</f>
        <v>0</v>
      </c>
      <c r="J67" s="113">
        <f>'Blended Fin'!J168</f>
        <v>0</v>
      </c>
      <c r="K67" s="113">
        <f>'Blended Fin'!K168</f>
        <v>0</v>
      </c>
      <c r="L67" s="113">
        <f>'Blended Fin'!L168</f>
        <v>0</v>
      </c>
      <c r="M67" s="69">
        <f t="shared" ref="M67:M75" si="7">SUM(I67:L67)</f>
        <v>0</v>
      </c>
    </row>
    <row r="68" spans="1:13" ht="12.75" hidden="1" customHeight="1" outlineLevel="2" x14ac:dyDescent="0.2">
      <c r="A68" s="114" t="str">
        <f>"   "&amp;Labels!B136</f>
        <v xml:space="preserve">   Fixed Invest</v>
      </c>
      <c r="B68" s="113">
        <f>'Blended Fin'!B172</f>
        <v>0</v>
      </c>
      <c r="C68" s="69">
        <f>'Blended Fin'!B172</f>
        <v>0</v>
      </c>
      <c r="D68" s="113">
        <f>'Blended Fin'!D172</f>
        <v>0</v>
      </c>
      <c r="E68" s="113">
        <f>'Blended Fin'!E172</f>
        <v>0</v>
      </c>
      <c r="F68" s="113">
        <f>'Blended Fin'!F172</f>
        <v>0</v>
      </c>
      <c r="G68" s="113">
        <f>'Blended Fin'!G172</f>
        <v>0</v>
      </c>
      <c r="H68" s="69">
        <f t="shared" si="6"/>
        <v>0</v>
      </c>
      <c r="I68" s="113">
        <f>'Blended Fin'!I172</f>
        <v>0</v>
      </c>
      <c r="J68" s="113">
        <f>'Blended Fin'!J172</f>
        <v>0</v>
      </c>
      <c r="K68" s="113">
        <f>'Blended Fin'!K172</f>
        <v>0</v>
      </c>
      <c r="L68" s="113">
        <f>'Blended Fin'!L172</f>
        <v>0</v>
      </c>
      <c r="M68" s="69">
        <f t="shared" si="7"/>
        <v>0</v>
      </c>
    </row>
    <row r="69" spans="1:13" ht="12.75" hidden="1" customHeight="1" outlineLevel="2" x14ac:dyDescent="0.2">
      <c r="A69" s="114" t="str">
        <f>"   "&amp;Labels!B137</f>
        <v xml:space="preserve">   Inv Tax Credit</v>
      </c>
      <c r="B69" s="113">
        <f>'Blended Fin'!B176</f>
        <v>0</v>
      </c>
      <c r="C69" s="69">
        <f>'Blended Fin'!B176</f>
        <v>0</v>
      </c>
      <c r="D69" s="113">
        <f>'Blended Fin'!D176</f>
        <v>0</v>
      </c>
      <c r="E69" s="113">
        <f>'Blended Fin'!E176</f>
        <v>0</v>
      </c>
      <c r="F69" s="113">
        <f>'Blended Fin'!F176</f>
        <v>0</v>
      </c>
      <c r="G69" s="113">
        <f>'Blended Fin'!G176</f>
        <v>0</v>
      </c>
      <c r="H69" s="69">
        <f t="shared" si="6"/>
        <v>0</v>
      </c>
      <c r="I69" s="113">
        <f>'Blended Fin'!I176</f>
        <v>0</v>
      </c>
      <c r="J69" s="113">
        <f>'Blended Fin'!J176</f>
        <v>0</v>
      </c>
      <c r="K69" s="113">
        <f>'Blended Fin'!K176</f>
        <v>0</v>
      </c>
      <c r="L69" s="113">
        <f>'Blended Fin'!L176</f>
        <v>0</v>
      </c>
      <c r="M69" s="69">
        <f t="shared" si="7"/>
        <v>0</v>
      </c>
    </row>
    <row r="70" spans="1:13" ht="12.75" hidden="1" customHeight="1" outlineLevel="2" x14ac:dyDescent="0.2">
      <c r="A70" s="114" t="str">
        <f>"   "&amp;Labels!B138</f>
        <v xml:space="preserve">   Working Cap</v>
      </c>
      <c r="B70" s="113">
        <f>'Blended Fin'!B180</f>
        <v>0</v>
      </c>
      <c r="C70" s="69">
        <f>'Blended Fin'!B180</f>
        <v>0</v>
      </c>
      <c r="D70" s="113">
        <f>'Blended Fin'!D180</f>
        <v>0</v>
      </c>
      <c r="E70" s="113">
        <f>'Blended Fin'!E180</f>
        <v>0</v>
      </c>
      <c r="F70" s="113">
        <f>'Blended Fin'!F180</f>
        <v>0</v>
      </c>
      <c r="G70" s="113">
        <f>'Blended Fin'!G180</f>
        <v>0</v>
      </c>
      <c r="H70" s="69">
        <f t="shared" si="6"/>
        <v>0</v>
      </c>
      <c r="I70" s="113">
        <f>'Blended Fin'!I180</f>
        <v>0</v>
      </c>
      <c r="J70" s="113">
        <f>'Blended Fin'!J180</f>
        <v>0</v>
      </c>
      <c r="K70" s="113">
        <f>'Blended Fin'!K180</f>
        <v>0</v>
      </c>
      <c r="L70" s="113">
        <f>'Blended Fin'!L180</f>
        <v>0</v>
      </c>
      <c r="M70" s="69">
        <f t="shared" si="7"/>
        <v>0</v>
      </c>
    </row>
    <row r="71" spans="1:13" ht="12.75" hidden="1" customHeight="1" outlineLevel="2" x14ac:dyDescent="0.2">
      <c r="A71" s="114" t="str">
        <f>"   "&amp;Labels!B139</f>
        <v xml:space="preserve">   Debt Principal</v>
      </c>
      <c r="B71" s="113">
        <f>'Blended Fin'!B184</f>
        <v>0</v>
      </c>
      <c r="C71" s="69">
        <f>'Blended Fin'!B184</f>
        <v>0</v>
      </c>
      <c r="D71" s="113">
        <f>'Blended Fin'!D184</f>
        <v>0</v>
      </c>
      <c r="E71" s="113">
        <f>'Blended Fin'!E184</f>
        <v>0</v>
      </c>
      <c r="F71" s="113">
        <f>'Blended Fin'!F184</f>
        <v>0</v>
      </c>
      <c r="G71" s="113">
        <f>'Blended Fin'!G184</f>
        <v>0</v>
      </c>
      <c r="H71" s="69">
        <f t="shared" si="6"/>
        <v>0</v>
      </c>
      <c r="I71" s="113">
        <f>'Blended Fin'!I184</f>
        <v>0</v>
      </c>
      <c r="J71" s="113">
        <f>'Blended Fin'!J184</f>
        <v>0</v>
      </c>
      <c r="K71" s="113">
        <f>'Blended Fin'!K184</f>
        <v>0</v>
      </c>
      <c r="L71" s="113">
        <f>'Blended Fin'!L184</f>
        <v>0</v>
      </c>
      <c r="M71" s="69">
        <f t="shared" si="7"/>
        <v>0</v>
      </c>
    </row>
    <row r="72" spans="1:13" ht="12.75" hidden="1" customHeight="1" outlineLevel="2" x14ac:dyDescent="0.2">
      <c r="A72" s="114" t="str">
        <f>"   "&amp;Labels!B140</f>
        <v xml:space="preserve">   Interest Pay</v>
      </c>
      <c r="B72" s="113">
        <f>'Blended Fin'!B188</f>
        <v>0</v>
      </c>
      <c r="C72" s="69">
        <f>'Blended Fin'!B188</f>
        <v>0</v>
      </c>
      <c r="D72" s="113">
        <f>'Blended Fin'!D188</f>
        <v>0</v>
      </c>
      <c r="E72" s="113">
        <f>'Blended Fin'!E188</f>
        <v>0</v>
      </c>
      <c r="F72" s="113">
        <f>'Blended Fin'!F188</f>
        <v>0</v>
      </c>
      <c r="G72" s="113">
        <f>'Blended Fin'!G188</f>
        <v>0</v>
      </c>
      <c r="H72" s="69">
        <f t="shared" si="6"/>
        <v>0</v>
      </c>
      <c r="I72" s="113">
        <f>'Blended Fin'!I188</f>
        <v>0</v>
      </c>
      <c r="J72" s="113">
        <f>'Blended Fin'!J188</f>
        <v>0</v>
      </c>
      <c r="K72" s="113">
        <f>'Blended Fin'!K188</f>
        <v>0</v>
      </c>
      <c r="L72" s="113">
        <f>'Blended Fin'!L188</f>
        <v>0</v>
      </c>
      <c r="M72" s="69">
        <f t="shared" si="7"/>
        <v>0</v>
      </c>
    </row>
    <row r="73" spans="1:13" ht="12.75" hidden="1" customHeight="1" outlineLevel="2" x14ac:dyDescent="0.2">
      <c r="A73" s="114" t="str">
        <f>"   "&amp;Labels!B141</f>
        <v xml:space="preserve">   Lease Pay</v>
      </c>
      <c r="B73" s="113">
        <f>'Blended Fin'!B192</f>
        <v>0</v>
      </c>
      <c r="C73" s="69">
        <f>'Blended Fin'!B192</f>
        <v>0</v>
      </c>
      <c r="D73" s="113">
        <f>'Blended Fin'!D192</f>
        <v>0</v>
      </c>
      <c r="E73" s="113">
        <f>'Blended Fin'!E192</f>
        <v>0</v>
      </c>
      <c r="F73" s="113">
        <f>'Blended Fin'!F192</f>
        <v>0</v>
      </c>
      <c r="G73" s="113">
        <f>'Blended Fin'!G192</f>
        <v>0</v>
      </c>
      <c r="H73" s="69">
        <f t="shared" si="6"/>
        <v>0</v>
      </c>
      <c r="I73" s="113">
        <f>'Blended Fin'!I192</f>
        <v>0</v>
      </c>
      <c r="J73" s="113">
        <f>'Blended Fin'!J192</f>
        <v>0</v>
      </c>
      <c r="K73" s="113">
        <f>'Blended Fin'!K192</f>
        <v>0</v>
      </c>
      <c r="L73" s="113">
        <f>'Blended Fin'!L192</f>
        <v>0</v>
      </c>
      <c r="M73" s="69">
        <f t="shared" si="7"/>
        <v>0</v>
      </c>
    </row>
    <row r="74" spans="1:13" ht="12.75" hidden="1" customHeight="1" outlineLevel="2" x14ac:dyDescent="0.2">
      <c r="A74" s="114" t="str">
        <f>"   "&amp;Labels!B142</f>
        <v xml:space="preserve">   Income Tax</v>
      </c>
      <c r="B74" s="113">
        <f>'Blended Fin'!B196</f>
        <v>0</v>
      </c>
      <c r="C74" s="69">
        <f>'Blended Fin'!B196</f>
        <v>0</v>
      </c>
      <c r="D74" s="113">
        <f>'Blended Fin'!D196</f>
        <v>0</v>
      </c>
      <c r="E74" s="113">
        <f>'Blended Fin'!E196</f>
        <v>0</v>
      </c>
      <c r="F74" s="113">
        <f>'Blended Fin'!F196</f>
        <v>0</v>
      </c>
      <c r="G74" s="113">
        <f>'Blended Fin'!G196</f>
        <v>0</v>
      </c>
      <c r="H74" s="69">
        <f t="shared" si="6"/>
        <v>0</v>
      </c>
      <c r="I74" s="113">
        <f>'Blended Fin'!I196</f>
        <v>0</v>
      </c>
      <c r="J74" s="113">
        <f>'Blended Fin'!J196</f>
        <v>0</v>
      </c>
      <c r="K74" s="113">
        <f>'Blended Fin'!K196</f>
        <v>0</v>
      </c>
      <c r="L74" s="113">
        <f>'Blended Fin'!L196</f>
        <v>0</v>
      </c>
      <c r="M74" s="69">
        <f t="shared" si="7"/>
        <v>0</v>
      </c>
    </row>
    <row r="75" spans="1:13" ht="12.75" hidden="1" customHeight="1" outlineLevel="2" x14ac:dyDescent="0.2">
      <c r="A75" s="121" t="str">
        <f>"   "&amp;Labels!C134</f>
        <v xml:space="preserve">   Total</v>
      </c>
      <c r="B75" s="132">
        <f>SUM(B67:B74)</f>
        <v>0</v>
      </c>
      <c r="C75" s="70">
        <f>SUM(B67:B74)</f>
        <v>0</v>
      </c>
      <c r="D75" s="132">
        <f>SUM(D67:D74)</f>
        <v>0</v>
      </c>
      <c r="E75" s="132">
        <f>SUM(E67:E74)</f>
        <v>0</v>
      </c>
      <c r="F75" s="132">
        <f>SUM(F67:F74)</f>
        <v>0</v>
      </c>
      <c r="G75" s="132">
        <f>SUM(G67:G74)</f>
        <v>0</v>
      </c>
      <c r="H75" s="70">
        <f t="shared" si="6"/>
        <v>0</v>
      </c>
      <c r="I75" s="132">
        <f>SUM(I67:I74)</f>
        <v>0</v>
      </c>
      <c r="J75" s="132">
        <f>SUM(J67:J74)</f>
        <v>0</v>
      </c>
      <c r="K75" s="132">
        <f>SUM(K67:K74)</f>
        <v>0</v>
      </c>
      <c r="L75" s="132">
        <f>SUM(L67:L74)</f>
        <v>0</v>
      </c>
      <c r="M75" s="70">
        <f t="shared" si="7"/>
        <v>0</v>
      </c>
    </row>
    <row r="76" spans="1:13" ht="12.75" hidden="1" customHeight="1" outlineLevel="2" collapsed="1" x14ac:dyDescent="0.2"/>
    <row r="77" spans="1:13" ht="12.75" hidden="1" customHeight="1" outlineLevel="1" collapsed="1" x14ac:dyDescent="0.2">
      <c r="A77" s="3" t="str">
        <f>"Discount Rate"</f>
        <v>Discount Rate</v>
      </c>
    </row>
    <row r="78" spans="1:13" ht="12.75" hidden="1" customHeight="1" outlineLevel="1" x14ac:dyDescent="0.2">
      <c r="A78" s="3" t="str">
        <f>""</f>
        <v/>
      </c>
    </row>
    <row r="79" spans="1:13" ht="12.75" hidden="1" customHeight="1" outlineLevel="1" x14ac:dyDescent="0.2">
      <c r="A79" s="12" t="str">
        <f>Labels!B40</f>
        <v>Discount Method (Direct or CAPM)</v>
      </c>
      <c r="B79" s="167" t="str">
        <f>Inputs!E116</f>
        <v>Direct</v>
      </c>
    </row>
    <row r="80" spans="1:13" ht="12.75" hidden="1" customHeight="1" outlineLevel="1" x14ac:dyDescent="0.2">
      <c r="B80" s="17" t="str">
        <f>'(FnCalls 1)'!G6</f>
        <v>Q4 2010</v>
      </c>
      <c r="C80" s="62" t="str">
        <f>'(FnCalls 1)'!H4</f>
        <v>2010</v>
      </c>
      <c r="D80" s="18" t="str">
        <f>'(FnCalls 1)'!G7</f>
        <v>Q1 2011</v>
      </c>
      <c r="E80" s="18" t="str">
        <f>'(FnCalls 1)'!G8</f>
        <v>Q2 2011</v>
      </c>
      <c r="F80" s="18" t="str">
        <f>'(FnCalls 1)'!G9</f>
        <v>Q3 2011</v>
      </c>
      <c r="G80" s="18" t="str">
        <f>'(FnCalls 1)'!G10</f>
        <v>Q4 2011</v>
      </c>
      <c r="H80" s="62" t="str">
        <f>'(FnCalls 1)'!H7</f>
        <v>2011</v>
      </c>
      <c r="I80" s="18" t="str">
        <f>'(FnCalls 1)'!G11</f>
        <v>Q1 2012</v>
      </c>
      <c r="J80" s="18" t="str">
        <f>'(FnCalls 1)'!G12</f>
        <v>Q2 2012</v>
      </c>
      <c r="K80" s="18" t="str">
        <f>'(FnCalls 1)'!G13</f>
        <v>Q3 2012</v>
      </c>
      <c r="L80" s="18" t="str">
        <f>'(FnCalls 1)'!G14</f>
        <v>Q4 2012</v>
      </c>
      <c r="M80" s="62" t="str">
        <f>'(FnCalls 1)'!H11</f>
        <v>2012</v>
      </c>
    </row>
    <row r="81" spans="1:13" ht="12.75" hidden="1" customHeight="1" outlineLevel="1" x14ac:dyDescent="0.2">
      <c r="A81" s="12" t="str">
        <f>Labels!B42</f>
        <v>Discount Rate (Yr)</v>
      </c>
      <c r="B81" s="168">
        <f>'Equity Fin'!B213</f>
        <v>0.15</v>
      </c>
      <c r="C81" s="83">
        <f>IF(B79="Direct",Inputs!E122,IF(B79="CAPM",Inputs!E130*1+Inputs!E130*(-Investment!B104)+Inputs!E127*0.055*1+Inputs!E127*0.055*(-Investment!B104)+'Equity Fin'!B233*Investment!B104*1+'Equity Fin'!B233*Investment!B104*(-Inputs!E108),0))</f>
        <v>0.15</v>
      </c>
      <c r="D81" s="168">
        <f>'Equity Fin'!D213</f>
        <v>0.15</v>
      </c>
      <c r="E81" s="168">
        <f>'Equity Fin'!E213</f>
        <v>0.15</v>
      </c>
      <c r="F81" s="168">
        <f>'Equity Fin'!F213</f>
        <v>0.15</v>
      </c>
      <c r="G81" s="168">
        <f>'Equity Fin'!G213</f>
        <v>0.15</v>
      </c>
      <c r="H81" s="83">
        <f>IF(B79="Direct",AVERAGE(Inputs!G122:J122),IF(B79="CAPM",AVERAGE(Inputs!G130:J130)*1+AVERAGE(Inputs!G130:J130)*(-Investment!B104)+Inputs!E127*0.055*1+Inputs!E127*0.055*(-Investment!B104)+AVERAGE('Equity Fin'!D233:G233)*Investment!B104*1+AVERAGE('Equity Fin'!D233:G233)*Investment!B104*(-Inputs!J108),0))</f>
        <v>0.15</v>
      </c>
      <c r="I81" s="168">
        <f>'Equity Fin'!I213</f>
        <v>0.15</v>
      </c>
      <c r="J81" s="168">
        <f>'Equity Fin'!J213</f>
        <v>0.15</v>
      </c>
      <c r="K81" s="168">
        <f>'Equity Fin'!K213</f>
        <v>0.15</v>
      </c>
      <c r="L81" s="168">
        <f>'Equity Fin'!L213</f>
        <v>0.15</v>
      </c>
      <c r="M81" s="83">
        <f>IF(B79="Direct",AVERAGE(Inputs!L122:O122),IF(B79="CAPM",AVERAGE(Inputs!L130:O130)*1+AVERAGE(Inputs!L130:O130)*(-Investment!B104)+Inputs!E127*0.055*1+Inputs!E127*0.055*(-Investment!B104)+AVERAGE('Equity Fin'!I233:L233)*Investment!B104*1+AVERAGE('Equity Fin'!I233:L233)*Investment!B104*(-Inputs!O108),0))</f>
        <v>0.15</v>
      </c>
    </row>
    <row r="82" spans="1:13" ht="12.75" hidden="1" customHeight="1" outlineLevel="1" x14ac:dyDescent="0.2"/>
    <row r="83" spans="1:13" ht="12.75" hidden="1" customHeight="1" outlineLevel="1" collapsed="1" x14ac:dyDescent="0.2"/>
    <row r="84" spans="1:13" ht="12.75" customHeight="1" collapsed="1" x14ac:dyDescent="0.2"/>
    <row r="85" spans="1:13" ht="12.75" customHeight="1" x14ac:dyDescent="0.2">
      <c r="A85" s="2" t="str">
        <f>"Financing"</f>
        <v>Financing</v>
      </c>
    </row>
    <row r="86" spans="1:13" ht="12.75" hidden="1" customHeight="1" outlineLevel="1" x14ac:dyDescent="0.2">
      <c r="A86" s="2" t="str">
        <f>""</f>
        <v/>
      </c>
    </row>
    <row r="87" spans="1:13" ht="12.75" hidden="1" customHeight="1" outlineLevel="1" x14ac:dyDescent="0.2">
      <c r="A87" s="12" t="str">
        <f>Labels!B59</f>
        <v>Financing Scenario</v>
      </c>
      <c r="B87" s="62">
        <f>Inputs!E139</f>
        <v>1</v>
      </c>
    </row>
    <row r="88" spans="1:13" ht="12.75" hidden="1" customHeight="1" outlineLevel="1" x14ac:dyDescent="0.2"/>
    <row r="89" spans="1:13" ht="12.75" hidden="1" customHeight="1" outlineLevel="1" x14ac:dyDescent="0.2">
      <c r="B89" s="169" t="str">
        <f>Labels!B56</f>
        <v>Financing Weights</v>
      </c>
      <c r="C89" s="170"/>
      <c r="D89" s="171"/>
    </row>
    <row r="90" spans="1:13" ht="12.75" hidden="1" customHeight="1" outlineLevel="1" x14ac:dyDescent="0.2">
      <c r="B90" s="185" t="str">
        <f>Labels!B170</f>
        <v>Invest 1</v>
      </c>
      <c r="C90" s="178" t="str">
        <f>Labels!B171</f>
        <v>Invest 2</v>
      </c>
      <c r="D90" s="186" t="str">
        <f>Labels!C169</f>
        <v>Total</v>
      </c>
    </row>
    <row r="91" spans="1:13" ht="12.75" hidden="1" customHeight="1" outlineLevel="1" x14ac:dyDescent="0.2">
      <c r="A91" s="111" t="str">
        <f>Labels!B157</f>
        <v>Equity</v>
      </c>
      <c r="B91" s="146">
        <f>Investment!B94</f>
        <v>1</v>
      </c>
      <c r="C91" s="146">
        <f>Investment!B95</f>
        <v>1</v>
      </c>
      <c r="D91" s="187">
        <f>AVERAGE(B91:C91)</f>
        <v>1</v>
      </c>
    </row>
    <row r="92" spans="1:13" ht="12.75" hidden="1" customHeight="1" outlineLevel="1" x14ac:dyDescent="0.2">
      <c r="A92" s="117" t="str">
        <f>Labels!B158</f>
        <v>Debt</v>
      </c>
      <c r="B92" s="149">
        <f>Investment!C94</f>
        <v>0</v>
      </c>
      <c r="C92" s="149">
        <f>Investment!C95</f>
        <v>0</v>
      </c>
      <c r="D92" s="188">
        <f>AVERAGE(B92:C92)</f>
        <v>0</v>
      </c>
    </row>
    <row r="93" spans="1:13" ht="12.75" hidden="1" customHeight="1" outlineLevel="1" x14ac:dyDescent="0.2">
      <c r="A93" s="117" t="str">
        <f>Labels!B159</f>
        <v>Lease</v>
      </c>
      <c r="B93" s="149">
        <f>Investment!D94</f>
        <v>0</v>
      </c>
      <c r="C93" s="149">
        <f>Investment!D95</f>
        <v>0</v>
      </c>
      <c r="D93" s="188">
        <f>AVERAGE(B93:C93)</f>
        <v>0</v>
      </c>
    </row>
    <row r="94" spans="1:13" ht="12.75" hidden="1" customHeight="1" outlineLevel="1" x14ac:dyDescent="0.2">
      <c r="A94" s="12" t="str">
        <f>Labels!C156</f>
        <v>Total</v>
      </c>
      <c r="B94" s="168">
        <f>SUM(B91:B93)</f>
        <v>1</v>
      </c>
      <c r="C94" s="168">
        <f>SUM(C91:C93)</f>
        <v>1</v>
      </c>
      <c r="D94" s="184">
        <f>SUM(D91:D93)</f>
        <v>1</v>
      </c>
    </row>
    <row r="95" spans="1:13" ht="12.75" hidden="1" customHeight="1" outlineLevel="1" x14ac:dyDescent="0.2"/>
    <row r="96" spans="1:13" ht="12.75" hidden="1" customHeight="1" outlineLevel="1" x14ac:dyDescent="0.2">
      <c r="A96" s="3" t="str">
        <f>"Debt and Leases"</f>
        <v>Debt and Leases</v>
      </c>
    </row>
    <row r="97" spans="1:13" ht="12.75" hidden="1" customHeight="1" outlineLevel="1" x14ac:dyDescent="0.2">
      <c r="A97" s="3" t="str">
        <f>" "</f>
        <v xml:space="preserve"> </v>
      </c>
    </row>
    <row r="98" spans="1:13" ht="12.75" hidden="1" customHeight="1" outlineLevel="1" x14ac:dyDescent="0.2">
      <c r="A98" s="3" t="str">
        <f>"Debt"</f>
        <v>Debt</v>
      </c>
    </row>
    <row r="99" spans="1:13" ht="12.75" hidden="1" customHeight="1" outlineLevel="2" x14ac:dyDescent="0.2">
      <c r="A99" s="3" t="str">
        <f>""</f>
        <v/>
      </c>
    </row>
    <row r="100" spans="1:13" ht="12.75" hidden="1" customHeight="1" outlineLevel="2" x14ac:dyDescent="0.2">
      <c r="B100" s="17" t="str">
        <f>'(FnCalls 1)'!G6</f>
        <v>Q4 2010</v>
      </c>
      <c r="C100" s="62" t="str">
        <f>'(FnCalls 1)'!H4</f>
        <v>2010</v>
      </c>
      <c r="D100" s="18" t="str">
        <f>'(FnCalls 1)'!G7</f>
        <v>Q1 2011</v>
      </c>
      <c r="E100" s="18" t="str">
        <f>'(FnCalls 1)'!G8</f>
        <v>Q2 2011</v>
      </c>
      <c r="F100" s="18" t="str">
        <f>'(FnCalls 1)'!G9</f>
        <v>Q3 2011</v>
      </c>
      <c r="G100" s="18" t="str">
        <f>'(FnCalls 1)'!G10</f>
        <v>Q4 2011</v>
      </c>
      <c r="H100" s="62" t="str">
        <f>'(FnCalls 1)'!H7</f>
        <v>2011</v>
      </c>
      <c r="I100" s="18" t="str">
        <f>'(FnCalls 1)'!G11</f>
        <v>Q1 2012</v>
      </c>
      <c r="J100" s="18" t="str">
        <f>'(FnCalls 1)'!G12</f>
        <v>Q2 2012</v>
      </c>
      <c r="K100" s="18" t="str">
        <f>'(FnCalls 1)'!G13</f>
        <v>Q3 2012</v>
      </c>
      <c r="L100" s="18" t="str">
        <f>'(FnCalls 1)'!G14</f>
        <v>Q4 2012</v>
      </c>
      <c r="M100" s="62" t="str">
        <f>'(FnCalls 1)'!H11</f>
        <v>2012</v>
      </c>
    </row>
    <row r="101" spans="1:13" ht="12.75" hidden="1" customHeight="1" outlineLevel="2" x14ac:dyDescent="0.2">
      <c r="A101" s="111" t="str">
        <f>Labels!B32</f>
        <v>Debt Principal</v>
      </c>
      <c r="B101" s="110"/>
      <c r="C101" s="75"/>
      <c r="D101" s="110"/>
      <c r="E101" s="110"/>
      <c r="F101" s="110"/>
      <c r="G101" s="110"/>
      <c r="H101" s="75"/>
      <c r="I101" s="110"/>
      <c r="J101" s="110"/>
      <c r="K101" s="110"/>
      <c r="L101" s="110"/>
      <c r="M101" s="75"/>
    </row>
    <row r="102" spans="1:13" ht="12.75" hidden="1" customHeight="1" outlineLevel="2" x14ac:dyDescent="0.2">
      <c r="A102" s="114" t="str">
        <f>"   "&amp;Labels!B170</f>
        <v xml:space="preserve">   Invest 1</v>
      </c>
      <c r="B102" s="113">
        <f>'Blended Fin'!B298</f>
        <v>0</v>
      </c>
      <c r="C102" s="69">
        <f>'Blended Fin'!B298</f>
        <v>0</v>
      </c>
      <c r="D102" s="113">
        <f>'Blended Fin'!D298</f>
        <v>0</v>
      </c>
      <c r="E102" s="113">
        <f>'Blended Fin'!E298</f>
        <v>0</v>
      </c>
      <c r="F102" s="113">
        <f>'Blended Fin'!F298</f>
        <v>0</v>
      </c>
      <c r="G102" s="113">
        <f>'Blended Fin'!G298</f>
        <v>0</v>
      </c>
      <c r="H102" s="69">
        <f>'Blended Fin'!G298</f>
        <v>0</v>
      </c>
      <c r="I102" s="113">
        <f>'Blended Fin'!I298</f>
        <v>0</v>
      </c>
      <c r="J102" s="113">
        <f>'Blended Fin'!J298</f>
        <v>0</v>
      </c>
      <c r="K102" s="113">
        <f>'Blended Fin'!K298</f>
        <v>0</v>
      </c>
      <c r="L102" s="113">
        <f>'Blended Fin'!L298</f>
        <v>0</v>
      </c>
      <c r="M102" s="69">
        <f>'Blended Fin'!L298</f>
        <v>0</v>
      </c>
    </row>
    <row r="103" spans="1:13" ht="12.75" hidden="1" customHeight="1" outlineLevel="2" x14ac:dyDescent="0.2">
      <c r="A103" s="114" t="str">
        <f>"   "&amp;Labels!B171</f>
        <v xml:space="preserve">   Invest 2</v>
      </c>
      <c r="B103" s="113">
        <f>'Blended Fin'!B299</f>
        <v>0</v>
      </c>
      <c r="C103" s="69">
        <f>'Blended Fin'!B299</f>
        <v>0</v>
      </c>
      <c r="D103" s="113">
        <f>'Blended Fin'!D299</f>
        <v>0</v>
      </c>
      <c r="E103" s="113">
        <f>'Blended Fin'!E299</f>
        <v>0</v>
      </c>
      <c r="F103" s="113">
        <f>'Blended Fin'!F299</f>
        <v>0</v>
      </c>
      <c r="G103" s="113">
        <f>'Blended Fin'!G299</f>
        <v>0</v>
      </c>
      <c r="H103" s="69">
        <f>'Blended Fin'!G299</f>
        <v>0</v>
      </c>
      <c r="I103" s="113">
        <f>'Blended Fin'!I299</f>
        <v>0</v>
      </c>
      <c r="J103" s="113">
        <f>'Blended Fin'!J299</f>
        <v>0</v>
      </c>
      <c r="K103" s="113">
        <f>'Blended Fin'!K299</f>
        <v>0</v>
      </c>
      <c r="L103" s="113">
        <f>'Blended Fin'!L299</f>
        <v>0</v>
      </c>
      <c r="M103" s="69">
        <f>'Blended Fin'!L299</f>
        <v>0</v>
      </c>
    </row>
    <row r="104" spans="1:13" ht="12.75" hidden="1" customHeight="1" outlineLevel="2" x14ac:dyDescent="0.2">
      <c r="A104" s="117" t="str">
        <f>"   "&amp;Labels!C169</f>
        <v xml:space="preserve">   Total</v>
      </c>
      <c r="B104" s="120">
        <f>SUM(B102:B103)</f>
        <v>0</v>
      </c>
      <c r="C104" s="69">
        <f>SUM(B102:B103)</f>
        <v>0</v>
      </c>
      <c r="D104" s="120">
        <f>SUM(D102:D103)</f>
        <v>0</v>
      </c>
      <c r="E104" s="120">
        <f>SUM(E102:E103)</f>
        <v>0</v>
      </c>
      <c r="F104" s="120">
        <f>SUM(F102:F103)</f>
        <v>0</v>
      </c>
      <c r="G104" s="120">
        <f>SUM(G102:G103)</f>
        <v>0</v>
      </c>
      <c r="H104" s="69">
        <f>SUM(G102:G103)</f>
        <v>0</v>
      </c>
      <c r="I104" s="120">
        <f>SUM(I102:I103)</f>
        <v>0</v>
      </c>
      <c r="J104" s="120">
        <f>SUM(J102:J103)</f>
        <v>0</v>
      </c>
      <c r="K104" s="120">
        <f>SUM(K102:K103)</f>
        <v>0</v>
      </c>
      <c r="L104" s="120">
        <f>SUM(L102:L103)</f>
        <v>0</v>
      </c>
      <c r="M104" s="69">
        <f>SUM(L102:L103)</f>
        <v>0</v>
      </c>
    </row>
    <row r="105" spans="1:13" ht="12.75" hidden="1" customHeight="1" outlineLevel="2" x14ac:dyDescent="0.2">
      <c r="A105" s="12"/>
      <c r="B105" s="10"/>
      <c r="C105" s="12"/>
      <c r="D105" s="10"/>
      <c r="E105" s="10"/>
      <c r="F105" s="10"/>
      <c r="G105" s="10"/>
      <c r="H105" s="12"/>
      <c r="I105" s="10"/>
      <c r="J105" s="10"/>
      <c r="K105" s="10"/>
      <c r="L105" s="10"/>
      <c r="M105" s="12"/>
    </row>
    <row r="106" spans="1:13" ht="12.75" hidden="1" customHeight="1" outlineLevel="2" x14ac:dyDescent="0.2">
      <c r="A106" s="117" t="str">
        <f>Labels!B33</f>
        <v>Change Debt Principal</v>
      </c>
      <c r="B106" s="120"/>
      <c r="C106" s="69"/>
      <c r="D106" s="120"/>
      <c r="E106" s="120"/>
      <c r="F106" s="120"/>
      <c r="G106" s="120"/>
      <c r="H106" s="69"/>
      <c r="I106" s="120"/>
      <c r="J106" s="120"/>
      <c r="K106" s="120"/>
      <c r="L106" s="120"/>
      <c r="M106" s="69"/>
    </row>
    <row r="107" spans="1:13" ht="12.75" hidden="1" customHeight="1" outlineLevel="2" x14ac:dyDescent="0.2">
      <c r="A107" s="114" t="str">
        <f>"   "&amp;Labels!B170</f>
        <v xml:space="preserve">   Invest 1</v>
      </c>
      <c r="B107" s="113">
        <f>'Blended Fin'!B312</f>
        <v>0</v>
      </c>
      <c r="C107" s="69">
        <f>'Blended Fin'!B312</f>
        <v>0</v>
      </c>
      <c r="D107" s="113">
        <f>'Blended Fin'!D312</f>
        <v>0</v>
      </c>
      <c r="E107" s="113">
        <f>'Blended Fin'!E312</f>
        <v>0</v>
      </c>
      <c r="F107" s="113">
        <f>'Blended Fin'!F312</f>
        <v>0</v>
      </c>
      <c r="G107" s="113">
        <f>'Blended Fin'!G312</f>
        <v>0</v>
      </c>
      <c r="H107" s="69">
        <f>SUM(D107:G107)</f>
        <v>0</v>
      </c>
      <c r="I107" s="113">
        <f>'Blended Fin'!I312</f>
        <v>0</v>
      </c>
      <c r="J107" s="113">
        <f>'Blended Fin'!J312</f>
        <v>0</v>
      </c>
      <c r="K107" s="113">
        <f>'Blended Fin'!K312</f>
        <v>0</v>
      </c>
      <c r="L107" s="113">
        <f>'Blended Fin'!L312</f>
        <v>0</v>
      </c>
      <c r="M107" s="69">
        <f>SUM(I107:L107)</f>
        <v>0</v>
      </c>
    </row>
    <row r="108" spans="1:13" ht="12.75" hidden="1" customHeight="1" outlineLevel="2" x14ac:dyDescent="0.2">
      <c r="A108" s="114" t="str">
        <f>"   "&amp;Labels!B171</f>
        <v xml:space="preserve">   Invest 2</v>
      </c>
      <c r="B108" s="113">
        <f>'Blended Fin'!B313</f>
        <v>0</v>
      </c>
      <c r="C108" s="69">
        <f>'Blended Fin'!B313</f>
        <v>0</v>
      </c>
      <c r="D108" s="113">
        <f>'Blended Fin'!D313</f>
        <v>0</v>
      </c>
      <c r="E108" s="113">
        <f>'Blended Fin'!E313</f>
        <v>0</v>
      </c>
      <c r="F108" s="113">
        <f>'Blended Fin'!F313</f>
        <v>0</v>
      </c>
      <c r="G108" s="113">
        <f>'Blended Fin'!G313</f>
        <v>0</v>
      </c>
      <c r="H108" s="69">
        <f>SUM(D108:G108)</f>
        <v>0</v>
      </c>
      <c r="I108" s="113">
        <f>'Blended Fin'!I313</f>
        <v>0</v>
      </c>
      <c r="J108" s="113">
        <f>'Blended Fin'!J313</f>
        <v>0</v>
      </c>
      <c r="K108" s="113">
        <f>'Blended Fin'!K313</f>
        <v>0</v>
      </c>
      <c r="L108" s="113">
        <f>'Blended Fin'!L313</f>
        <v>0</v>
      </c>
      <c r="M108" s="69">
        <f>SUM(I108:L108)</f>
        <v>0</v>
      </c>
    </row>
    <row r="109" spans="1:13" ht="12.75" hidden="1" customHeight="1" outlineLevel="2" x14ac:dyDescent="0.2">
      <c r="A109" s="117" t="str">
        <f>"   "&amp;Labels!C169</f>
        <v xml:space="preserve">   Total</v>
      </c>
      <c r="B109" s="120">
        <f>SUM(B107:B108)</f>
        <v>0</v>
      </c>
      <c r="C109" s="69">
        <f>SUM(B107:B108)</f>
        <v>0</v>
      </c>
      <c r="D109" s="120">
        <f>SUM(D107:D108)</f>
        <v>0</v>
      </c>
      <c r="E109" s="120">
        <f>SUM(E107:E108)</f>
        <v>0</v>
      </c>
      <c r="F109" s="120">
        <f>SUM(F107:F108)</f>
        <v>0</v>
      </c>
      <c r="G109" s="120">
        <f>SUM(G107:G108)</f>
        <v>0</v>
      </c>
      <c r="H109" s="69">
        <f>SUM(D109:G109)</f>
        <v>0</v>
      </c>
      <c r="I109" s="120">
        <f>SUM(I107:I108)</f>
        <v>0</v>
      </c>
      <c r="J109" s="120">
        <f>SUM(J107:J108)</f>
        <v>0</v>
      </c>
      <c r="K109" s="120">
        <f>SUM(K107:K108)</f>
        <v>0</v>
      </c>
      <c r="L109" s="120">
        <f>SUM(L107:L108)</f>
        <v>0</v>
      </c>
      <c r="M109" s="69">
        <f>SUM(I109:L109)</f>
        <v>0</v>
      </c>
    </row>
    <row r="110" spans="1:13" ht="12.75" hidden="1" customHeight="1" outlineLevel="2" x14ac:dyDescent="0.2">
      <c r="A110" s="12"/>
      <c r="B110" s="10"/>
      <c r="C110" s="12"/>
      <c r="D110" s="10"/>
      <c r="E110" s="10"/>
      <c r="F110" s="10"/>
      <c r="G110" s="10"/>
      <c r="H110" s="12"/>
      <c r="I110" s="10"/>
      <c r="J110" s="10"/>
      <c r="K110" s="10"/>
      <c r="L110" s="10"/>
      <c r="M110" s="12"/>
    </row>
    <row r="111" spans="1:13" ht="12.75" hidden="1" customHeight="1" outlineLevel="2" x14ac:dyDescent="0.2">
      <c r="A111" s="117" t="str">
        <f>Labels!B31</f>
        <v>Debt Interest Payments</v>
      </c>
      <c r="B111" s="120"/>
      <c r="C111" s="69"/>
      <c r="D111" s="120"/>
      <c r="E111" s="120"/>
      <c r="F111" s="120"/>
      <c r="G111" s="120"/>
      <c r="H111" s="69"/>
      <c r="I111" s="120"/>
      <c r="J111" s="120"/>
      <c r="K111" s="120"/>
      <c r="L111" s="120"/>
      <c r="M111" s="69"/>
    </row>
    <row r="112" spans="1:13" ht="12.75" hidden="1" customHeight="1" outlineLevel="2" x14ac:dyDescent="0.2">
      <c r="A112" s="114" t="str">
        <f>"   "&amp;Labels!B170</f>
        <v xml:space="preserve">   Invest 1</v>
      </c>
      <c r="B112" s="113">
        <f>'Blended Fin'!B326</f>
        <v>0</v>
      </c>
      <c r="C112" s="69">
        <f>'Blended Fin'!B326</f>
        <v>0</v>
      </c>
      <c r="D112" s="113">
        <f>'Blended Fin'!D326</f>
        <v>0</v>
      </c>
      <c r="E112" s="113">
        <f>'Blended Fin'!E326</f>
        <v>0</v>
      </c>
      <c r="F112" s="113">
        <f>'Blended Fin'!F326</f>
        <v>0</v>
      </c>
      <c r="G112" s="113">
        <f>'Blended Fin'!G326</f>
        <v>0</v>
      </c>
      <c r="H112" s="69">
        <f>SUM(D112:G112)</f>
        <v>0</v>
      </c>
      <c r="I112" s="113">
        <f>'Blended Fin'!I326</f>
        <v>0</v>
      </c>
      <c r="J112" s="113">
        <f>'Blended Fin'!J326</f>
        <v>0</v>
      </c>
      <c r="K112" s="113">
        <f>'Blended Fin'!K326</f>
        <v>0</v>
      </c>
      <c r="L112" s="113">
        <f>'Blended Fin'!L326</f>
        <v>0</v>
      </c>
      <c r="M112" s="69">
        <f>SUM(I112:L112)</f>
        <v>0</v>
      </c>
    </row>
    <row r="113" spans="1:13" ht="12.75" hidden="1" customHeight="1" outlineLevel="2" x14ac:dyDescent="0.2">
      <c r="A113" s="114" t="str">
        <f>"   "&amp;Labels!B171</f>
        <v xml:space="preserve">   Invest 2</v>
      </c>
      <c r="B113" s="113">
        <f>'Blended Fin'!B327</f>
        <v>0</v>
      </c>
      <c r="C113" s="69">
        <f>'Blended Fin'!B327</f>
        <v>0</v>
      </c>
      <c r="D113" s="113">
        <f>'Blended Fin'!D327</f>
        <v>0</v>
      </c>
      <c r="E113" s="113">
        <f>'Blended Fin'!E327</f>
        <v>0</v>
      </c>
      <c r="F113" s="113">
        <f>'Blended Fin'!F327</f>
        <v>0</v>
      </c>
      <c r="G113" s="113">
        <f>'Blended Fin'!G327</f>
        <v>0</v>
      </c>
      <c r="H113" s="69">
        <f>SUM(D113:G113)</f>
        <v>0</v>
      </c>
      <c r="I113" s="113">
        <f>'Blended Fin'!I327</f>
        <v>0</v>
      </c>
      <c r="J113" s="113">
        <f>'Blended Fin'!J327</f>
        <v>0</v>
      </c>
      <c r="K113" s="113">
        <f>'Blended Fin'!K327</f>
        <v>0</v>
      </c>
      <c r="L113" s="113">
        <f>'Blended Fin'!L327</f>
        <v>0</v>
      </c>
      <c r="M113" s="69">
        <f>SUM(I113:L113)</f>
        <v>0</v>
      </c>
    </row>
    <row r="114" spans="1:13" ht="12.75" hidden="1" customHeight="1" outlineLevel="2" x14ac:dyDescent="0.2">
      <c r="A114" s="121" t="str">
        <f>"   "&amp;Labels!C169</f>
        <v xml:space="preserve">   Total</v>
      </c>
      <c r="B114" s="132">
        <f>SUM(B112:B113)</f>
        <v>0</v>
      </c>
      <c r="C114" s="70">
        <f>SUM(B112:B113)</f>
        <v>0</v>
      </c>
      <c r="D114" s="132">
        <f>SUM(D112:D113)</f>
        <v>0</v>
      </c>
      <c r="E114" s="132">
        <f>SUM(E112:E113)</f>
        <v>0</v>
      </c>
      <c r="F114" s="132">
        <f>SUM(F112:F113)</f>
        <v>0</v>
      </c>
      <c r="G114" s="132">
        <f>SUM(G112:G113)</f>
        <v>0</v>
      </c>
      <c r="H114" s="70">
        <f>SUM(D114:G114)</f>
        <v>0</v>
      </c>
      <c r="I114" s="132">
        <f>SUM(I112:I113)</f>
        <v>0</v>
      </c>
      <c r="J114" s="132">
        <f>SUM(J112:J113)</f>
        <v>0</v>
      </c>
      <c r="K114" s="132">
        <f>SUM(K112:K113)</f>
        <v>0</v>
      </c>
      <c r="L114" s="132">
        <f>SUM(L112:L113)</f>
        <v>0</v>
      </c>
      <c r="M114" s="70">
        <f>SUM(I114:L114)</f>
        <v>0</v>
      </c>
    </row>
    <row r="115" spans="1:13" ht="12.75" hidden="1" customHeight="1" outlineLevel="2" collapsed="1" x14ac:dyDescent="0.2"/>
    <row r="116" spans="1:13" ht="12.75" hidden="1" customHeight="1" outlineLevel="1" collapsed="1" x14ac:dyDescent="0.2">
      <c r="A116" s="3" t="str">
        <f>"Leases"</f>
        <v>Leases</v>
      </c>
    </row>
    <row r="117" spans="1:13" ht="12.75" hidden="1" customHeight="1" outlineLevel="2" x14ac:dyDescent="0.2">
      <c r="A117" s="3" t="str">
        <f>""</f>
        <v/>
      </c>
    </row>
    <row r="118" spans="1:13" ht="12.75" hidden="1" customHeight="1" outlineLevel="2" x14ac:dyDescent="0.2">
      <c r="B118" s="17" t="str">
        <f>'(FnCalls 1)'!G6</f>
        <v>Q4 2010</v>
      </c>
      <c r="C118" s="62" t="str">
        <f>'(FnCalls 1)'!H4</f>
        <v>2010</v>
      </c>
      <c r="D118" s="18" t="str">
        <f>'(FnCalls 1)'!G7</f>
        <v>Q1 2011</v>
      </c>
      <c r="E118" s="18" t="str">
        <f>'(FnCalls 1)'!G8</f>
        <v>Q2 2011</v>
      </c>
      <c r="F118" s="18" t="str">
        <f>'(FnCalls 1)'!G9</f>
        <v>Q3 2011</v>
      </c>
      <c r="G118" s="18" t="str">
        <f>'(FnCalls 1)'!G10</f>
        <v>Q4 2011</v>
      </c>
      <c r="H118" s="62" t="str">
        <f>'(FnCalls 1)'!H7</f>
        <v>2011</v>
      </c>
      <c r="I118" s="18" t="str">
        <f>'(FnCalls 1)'!G11</f>
        <v>Q1 2012</v>
      </c>
      <c r="J118" s="18" t="str">
        <f>'(FnCalls 1)'!G12</f>
        <v>Q2 2012</v>
      </c>
      <c r="K118" s="18" t="str">
        <f>'(FnCalls 1)'!G13</f>
        <v>Q3 2012</v>
      </c>
      <c r="L118" s="18" t="str">
        <f>'(FnCalls 1)'!G14</f>
        <v>Q4 2012</v>
      </c>
      <c r="M118" s="62" t="str">
        <f>'(FnCalls 1)'!H11</f>
        <v>2012</v>
      </c>
    </row>
    <row r="119" spans="1:13" ht="12.75" hidden="1" customHeight="1" outlineLevel="2" x14ac:dyDescent="0.2">
      <c r="A119" s="111" t="str">
        <f>Labels!B87</f>
        <v>Lease Payments</v>
      </c>
      <c r="B119" s="110"/>
      <c r="C119" s="75"/>
      <c r="D119" s="110"/>
      <c r="E119" s="110"/>
      <c r="F119" s="110"/>
      <c r="G119" s="110"/>
      <c r="H119" s="75"/>
      <c r="I119" s="110"/>
      <c r="J119" s="110"/>
      <c r="K119" s="110"/>
      <c r="L119" s="110"/>
      <c r="M119" s="75"/>
    </row>
    <row r="120" spans="1:13" ht="12.75" hidden="1" customHeight="1" outlineLevel="2" x14ac:dyDescent="0.2">
      <c r="A120" s="114" t="str">
        <f>"   "&amp;Labels!B170</f>
        <v xml:space="preserve">   Invest 1</v>
      </c>
      <c r="B120" s="113">
        <f>'Blended Fin'!B343</f>
        <v>0</v>
      </c>
      <c r="C120" s="69">
        <f>'Blended Fin'!B343</f>
        <v>0</v>
      </c>
      <c r="D120" s="113">
        <f>'Blended Fin'!D343</f>
        <v>0</v>
      </c>
      <c r="E120" s="113">
        <f>'Blended Fin'!E343</f>
        <v>0</v>
      </c>
      <c r="F120" s="113">
        <f>'Blended Fin'!F343</f>
        <v>0</v>
      </c>
      <c r="G120" s="113">
        <f>'Blended Fin'!G343</f>
        <v>0</v>
      </c>
      <c r="H120" s="69">
        <f>SUM(D120:G120)</f>
        <v>0</v>
      </c>
      <c r="I120" s="113">
        <f>'Blended Fin'!I343</f>
        <v>0</v>
      </c>
      <c r="J120" s="113">
        <f>'Blended Fin'!J343</f>
        <v>0</v>
      </c>
      <c r="K120" s="113">
        <f>'Blended Fin'!K343</f>
        <v>0</v>
      </c>
      <c r="L120" s="113">
        <f>'Blended Fin'!L343</f>
        <v>0</v>
      </c>
      <c r="M120" s="69">
        <f>SUM(I120:L120)</f>
        <v>0</v>
      </c>
    </row>
    <row r="121" spans="1:13" ht="12.75" hidden="1" customHeight="1" outlineLevel="2" x14ac:dyDescent="0.2">
      <c r="A121" s="114" t="str">
        <f>"   "&amp;Labels!B171</f>
        <v xml:space="preserve">   Invest 2</v>
      </c>
      <c r="B121" s="113">
        <f>'Blended Fin'!B344</f>
        <v>0</v>
      </c>
      <c r="C121" s="69">
        <f>'Blended Fin'!B344</f>
        <v>0</v>
      </c>
      <c r="D121" s="113">
        <f>'Blended Fin'!D344</f>
        <v>0</v>
      </c>
      <c r="E121" s="113">
        <f>'Blended Fin'!E344</f>
        <v>0</v>
      </c>
      <c r="F121" s="113">
        <f>'Blended Fin'!F344</f>
        <v>0</v>
      </c>
      <c r="G121" s="113">
        <f>'Blended Fin'!G344</f>
        <v>0</v>
      </c>
      <c r="H121" s="69">
        <f>SUM(D121:G121)</f>
        <v>0</v>
      </c>
      <c r="I121" s="113">
        <f>'Blended Fin'!I344</f>
        <v>0</v>
      </c>
      <c r="J121" s="113">
        <f>'Blended Fin'!J344</f>
        <v>0</v>
      </c>
      <c r="K121" s="113">
        <f>'Blended Fin'!K344</f>
        <v>0</v>
      </c>
      <c r="L121" s="113">
        <f>'Blended Fin'!L344</f>
        <v>0</v>
      </c>
      <c r="M121" s="69">
        <f>SUM(I121:L121)</f>
        <v>0</v>
      </c>
    </row>
    <row r="122" spans="1:13" ht="12.75" hidden="1" customHeight="1" outlineLevel="2" x14ac:dyDescent="0.2">
      <c r="A122" s="121" t="str">
        <f>"   "&amp;Labels!C169</f>
        <v xml:space="preserve">   Total</v>
      </c>
      <c r="B122" s="132">
        <f>SUM(B120:B121)</f>
        <v>0</v>
      </c>
      <c r="C122" s="70">
        <f>SUM(B120:B121)</f>
        <v>0</v>
      </c>
      <c r="D122" s="132">
        <f>SUM(D120:D121)</f>
        <v>0</v>
      </c>
      <c r="E122" s="132">
        <f>SUM(E120:E121)</f>
        <v>0</v>
      </c>
      <c r="F122" s="132">
        <f>SUM(F120:F121)</f>
        <v>0</v>
      </c>
      <c r="G122" s="132">
        <f>SUM(G120:G121)</f>
        <v>0</v>
      </c>
      <c r="H122" s="70">
        <f>SUM(D122:G122)</f>
        <v>0</v>
      </c>
      <c r="I122" s="132">
        <f>SUM(I120:I121)</f>
        <v>0</v>
      </c>
      <c r="J122" s="132">
        <f>SUM(J120:J121)</f>
        <v>0</v>
      </c>
      <c r="K122" s="132">
        <f>SUM(K120:K121)</f>
        <v>0</v>
      </c>
      <c r="L122" s="132">
        <f>SUM(L120:L121)</f>
        <v>0</v>
      </c>
      <c r="M122" s="70">
        <f>SUM(I122:L122)</f>
        <v>0</v>
      </c>
    </row>
    <row r="123" spans="1:13" ht="12.75" hidden="1" customHeight="1" outlineLevel="2" collapsed="1" x14ac:dyDescent="0.2"/>
    <row r="124" spans="1:13" ht="12.75" hidden="1" customHeight="1" outlineLevel="1" collapsed="1" x14ac:dyDescent="0.2">
      <c r="A124" t="s">
        <v>841</v>
      </c>
      <c r="B124" t="s">
        <v>841</v>
      </c>
      <c r="C124" t="s">
        <v>841</v>
      </c>
      <c r="D124" t="s">
        <v>841</v>
      </c>
      <c r="E124" t="s">
        <v>841</v>
      </c>
      <c r="F124" t="s">
        <v>841</v>
      </c>
      <c r="G124" t="s">
        <v>841</v>
      </c>
      <c r="H124" t="s">
        <v>841</v>
      </c>
      <c r="I124" t="s">
        <v>841</v>
      </c>
      <c r="J124" t="s">
        <v>841</v>
      </c>
      <c r="K124" t="s">
        <v>841</v>
      </c>
      <c r="L124" t="s">
        <v>841</v>
      </c>
      <c r="M124" t="s">
        <v>841</v>
      </c>
    </row>
    <row r="125" spans="1:13" ht="12.75" hidden="1" customHeight="1" outlineLevel="1" collapsed="1" x14ac:dyDescent="0.2"/>
    <row r="126" spans="1:13" ht="12.75" customHeight="1" collapsed="1" x14ac:dyDescent="0.2"/>
  </sheetData>
  <mergeCells count="8">
    <mergeCell ref="A37:B37"/>
    <mergeCell ref="A38:B38"/>
    <mergeCell ref="A1:D1"/>
    <mergeCell ref="A2:D2"/>
    <mergeCell ref="A3:D3"/>
    <mergeCell ref="A4:D4"/>
    <mergeCell ref="A19:B19"/>
    <mergeCell ref="A20:B20"/>
  </mergeCells>
  <pageMargins left="0.25" right="0.25" top="0.5" bottom="0.5" header="0.5" footer="0.5"/>
  <pageSetup paperSize="9" fitToHeight="32767" orientation="landscape"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283"/>
  <sheetViews>
    <sheetView zoomScaleNormal="100" workbookViewId="0"/>
  </sheetViews>
  <sheetFormatPr defaultRowHeight="12.75" customHeight="1" x14ac:dyDescent="0.2"/>
  <cols>
    <col min="1" max="1" width="35.7109375" customWidth="1"/>
    <col min="2" max="2" width="35.5703125" customWidth="1"/>
    <col min="3" max="3" width="64" customWidth="1"/>
    <col min="4" max="4" width="16" customWidth="1"/>
    <col min="5" max="5" width="255.7109375" customWidth="1"/>
  </cols>
  <sheetData>
    <row r="1" spans="1:5" ht="12.75" customHeight="1" x14ac:dyDescent="0.2">
      <c r="A1" s="270" t="str">
        <f>Inputs!E7</f>
        <v>ModelSheet Software</v>
      </c>
      <c r="B1" s="270"/>
      <c r="C1" s="270"/>
      <c r="D1" s="270"/>
    </row>
    <row r="2" spans="1:5" ht="12.75" customHeight="1" x14ac:dyDescent="0.2">
      <c r="A2" s="270" t="str">
        <f>Inputs!E9</f>
        <v>Project Test</v>
      </c>
      <c r="B2" s="270"/>
      <c r="C2" s="270"/>
      <c r="D2" s="270"/>
    </row>
    <row r="3" spans="1:5" ht="12.75" customHeight="1" x14ac:dyDescent="0.2">
      <c r="A3" s="130" t="s">
        <v>846</v>
      </c>
      <c r="B3" s="130" t="s">
        <v>1505</v>
      </c>
      <c r="C3" s="130" t="s">
        <v>37</v>
      </c>
      <c r="D3" s="130"/>
      <c r="E3" s="130" t="s">
        <v>1357</v>
      </c>
    </row>
    <row r="4" spans="1:5" ht="12.75" customHeight="1" x14ac:dyDescent="0.2">
      <c r="A4" s="189" t="s">
        <v>373</v>
      </c>
      <c r="B4" s="189" t="str">
        <f>Labels!B6</f>
        <v>Beta</v>
      </c>
      <c r="C4" s="190"/>
      <c r="D4" s="191"/>
      <c r="E4" s="192"/>
    </row>
    <row r="5" spans="1:5" ht="12.75" customHeight="1" x14ac:dyDescent="0.2">
      <c r="A5" s="10"/>
      <c r="B5" s="10"/>
      <c r="C5" s="193"/>
      <c r="D5" s="194"/>
      <c r="E5" s="10"/>
    </row>
    <row r="6" spans="1:5" ht="12.75" customHeight="1" x14ac:dyDescent="0.2">
      <c r="A6" s="189" t="s">
        <v>438</v>
      </c>
      <c r="B6" s="189" t="str">
        <f>Labels!B7</f>
        <v>Book Value</v>
      </c>
      <c r="C6" s="190" t="s">
        <v>540</v>
      </c>
      <c r="D6" s="191" t="s">
        <v>1150</v>
      </c>
      <c r="E6" s="192" t="s">
        <v>554</v>
      </c>
    </row>
    <row r="7" spans="1:5" ht="12.75" customHeight="1" x14ac:dyDescent="0.2">
      <c r="A7" s="10"/>
      <c r="B7" s="10"/>
      <c r="C7" s="193"/>
      <c r="D7" s="194"/>
      <c r="E7" s="10"/>
    </row>
    <row r="8" spans="1:5" ht="12.75" customHeight="1" x14ac:dyDescent="0.2">
      <c r="A8" s="189" t="s">
        <v>429</v>
      </c>
      <c r="B8" s="189" t="str">
        <f>Labels!B8</f>
        <v>Book Value (End)</v>
      </c>
      <c r="C8" s="190" t="s">
        <v>540</v>
      </c>
      <c r="D8" s="191" t="s">
        <v>1150</v>
      </c>
      <c r="E8" s="192" t="s">
        <v>438</v>
      </c>
    </row>
    <row r="9" spans="1:5" ht="12.75" customHeight="1" x14ac:dyDescent="0.2">
      <c r="A9" s="10"/>
      <c r="B9" s="10"/>
      <c r="C9" s="193"/>
      <c r="D9" s="194"/>
      <c r="E9" s="10"/>
    </row>
    <row r="10" spans="1:5" ht="12.75" customHeight="1" x14ac:dyDescent="0.2">
      <c r="A10" s="189" t="s">
        <v>445</v>
      </c>
      <c r="B10" s="189" t="str">
        <f>Labels!B9</f>
        <v>Book Value Fixed Invest</v>
      </c>
      <c r="C10" s="190" t="s">
        <v>888</v>
      </c>
      <c r="D10" s="191" t="s">
        <v>1150</v>
      </c>
      <c r="E10" s="192" t="s">
        <v>1538</v>
      </c>
    </row>
    <row r="11" spans="1:5" ht="12.75" customHeight="1" x14ac:dyDescent="0.2">
      <c r="A11" s="10"/>
      <c r="B11" s="10"/>
      <c r="C11" s="193"/>
      <c r="D11" s="194"/>
      <c r="E11" s="10"/>
    </row>
    <row r="12" spans="1:5" ht="12.75" customHeight="1" x14ac:dyDescent="0.2">
      <c r="A12" s="189" t="s">
        <v>330</v>
      </c>
      <c r="B12" s="189" t="str">
        <f>Labels!B10</f>
        <v>Book Value Fixed Inv (Start)</v>
      </c>
      <c r="C12" s="190" t="s">
        <v>888</v>
      </c>
      <c r="D12" s="191" t="s">
        <v>1150</v>
      </c>
      <c r="E12" s="192" t="s">
        <v>132</v>
      </c>
    </row>
    <row r="13" spans="1:5" ht="12.75" customHeight="1" x14ac:dyDescent="0.2">
      <c r="A13" s="10"/>
      <c r="B13" s="10"/>
      <c r="C13" s="193"/>
      <c r="D13" s="194"/>
      <c r="E13" s="10"/>
    </row>
    <row r="14" spans="1:5" ht="12.75" customHeight="1" x14ac:dyDescent="0.2">
      <c r="A14" s="189" t="s">
        <v>327</v>
      </c>
      <c r="B14" s="189" t="str">
        <f>Labels!B11</f>
        <v>Borrowing Rate</v>
      </c>
      <c r="C14" s="190" t="s">
        <v>888</v>
      </c>
      <c r="D14" s="191" t="s">
        <v>1150</v>
      </c>
      <c r="E14" s="192" t="s">
        <v>1399</v>
      </c>
    </row>
    <row r="15" spans="1:5" ht="12.75" customHeight="1" x14ac:dyDescent="0.2">
      <c r="A15" s="10"/>
      <c r="B15" s="10"/>
      <c r="C15" s="193"/>
      <c r="D15" s="194"/>
      <c r="E15" s="10"/>
    </row>
    <row r="16" spans="1:5" ht="12.75" customHeight="1" x14ac:dyDescent="0.2">
      <c r="A16" s="189" t="s">
        <v>221</v>
      </c>
      <c r="B16" s="189" t="str">
        <f>Labels!B12</f>
        <v>Borrowing Rate (Yr)</v>
      </c>
      <c r="C16" s="190" t="s">
        <v>888</v>
      </c>
      <c r="D16" s="191" t="s">
        <v>1150</v>
      </c>
      <c r="E16" s="192" t="s">
        <v>7</v>
      </c>
    </row>
    <row r="17" spans="1:5" ht="12.75" customHeight="1" x14ac:dyDescent="0.2">
      <c r="A17" s="10"/>
      <c r="B17" s="10"/>
      <c r="C17" s="193"/>
      <c r="D17" s="194"/>
      <c r="E17" s="10"/>
    </row>
    <row r="18" spans="1:5" ht="12.75" customHeight="1" x14ac:dyDescent="0.2">
      <c r="A18" s="189" t="s">
        <v>342</v>
      </c>
      <c r="B18" s="189" t="str">
        <f>Labels!B13</f>
        <v>Average Capital</v>
      </c>
      <c r="C18" s="190" t="s">
        <v>540</v>
      </c>
      <c r="D18" s="191" t="s">
        <v>1150</v>
      </c>
      <c r="E18" s="192" t="s">
        <v>978</v>
      </c>
    </row>
    <row r="19" spans="1:5" ht="12.75" customHeight="1" x14ac:dyDescent="0.2">
      <c r="A19" s="10"/>
      <c r="B19" s="10"/>
      <c r="C19" s="193"/>
      <c r="D19" s="194"/>
      <c r="E19" s="10"/>
    </row>
    <row r="20" spans="1:5" ht="12.75" customHeight="1" x14ac:dyDescent="0.2">
      <c r="A20" s="189" t="s">
        <v>85</v>
      </c>
      <c r="B20" s="189" t="str">
        <f>Labels!B14</f>
        <v>Cash Flow</v>
      </c>
      <c r="C20" s="190" t="s">
        <v>448</v>
      </c>
      <c r="D20" s="191" t="s">
        <v>1150</v>
      </c>
      <c r="E20" s="192" t="s">
        <v>768</v>
      </c>
    </row>
    <row r="21" spans="1:5" ht="12.75" customHeight="1" x14ac:dyDescent="0.2">
      <c r="A21" s="189"/>
      <c r="B21" s="189"/>
      <c r="C21" s="190" t="s">
        <v>807</v>
      </c>
      <c r="D21" s="191" t="s">
        <v>1150</v>
      </c>
      <c r="E21" s="192" t="s">
        <v>784</v>
      </c>
    </row>
    <row r="22" spans="1:5" ht="12.75" customHeight="1" x14ac:dyDescent="0.2">
      <c r="A22" s="189"/>
      <c r="B22" s="189"/>
      <c r="C22" s="190" t="s">
        <v>936</v>
      </c>
      <c r="D22" s="191" t="s">
        <v>1150</v>
      </c>
      <c r="E22" s="192" t="s">
        <v>977</v>
      </c>
    </row>
    <row r="23" spans="1:5" ht="12.75" customHeight="1" x14ac:dyDescent="0.2">
      <c r="A23" s="189"/>
      <c r="B23" s="189"/>
      <c r="C23" s="190" t="s">
        <v>1370</v>
      </c>
      <c r="D23" s="191" t="s">
        <v>1150</v>
      </c>
      <c r="E23" s="192" t="s">
        <v>1550</v>
      </c>
    </row>
    <row r="24" spans="1:5" ht="12.75" customHeight="1" x14ac:dyDescent="0.2">
      <c r="A24" s="189"/>
      <c r="B24" s="189"/>
      <c r="C24" s="190" t="s">
        <v>1108</v>
      </c>
      <c r="D24" s="191" t="s">
        <v>1150</v>
      </c>
      <c r="E24" s="192" t="s">
        <v>9</v>
      </c>
    </row>
    <row r="25" spans="1:5" ht="12.75" customHeight="1" x14ac:dyDescent="0.2">
      <c r="A25" s="189"/>
      <c r="B25" s="189"/>
      <c r="C25" s="190" t="s">
        <v>665</v>
      </c>
      <c r="D25" s="191" t="s">
        <v>1150</v>
      </c>
      <c r="E25" s="192" t="s">
        <v>618</v>
      </c>
    </row>
    <row r="26" spans="1:5" ht="12.75" customHeight="1" x14ac:dyDescent="0.2">
      <c r="A26" s="189"/>
      <c r="B26" s="189"/>
      <c r="C26" s="190" t="s">
        <v>66</v>
      </c>
      <c r="D26" s="191" t="s">
        <v>1150</v>
      </c>
      <c r="E26" s="192" t="s">
        <v>1121</v>
      </c>
    </row>
    <row r="27" spans="1:5" ht="12.75" customHeight="1" x14ac:dyDescent="0.2">
      <c r="A27" s="189"/>
      <c r="B27" s="189"/>
      <c r="C27" s="190" t="s">
        <v>595</v>
      </c>
      <c r="D27" s="191" t="s">
        <v>1150</v>
      </c>
      <c r="E27" s="192" t="s">
        <v>1013</v>
      </c>
    </row>
    <row r="28" spans="1:5" ht="12.75" customHeight="1" x14ac:dyDescent="0.2">
      <c r="A28" s="10"/>
      <c r="B28" s="10"/>
      <c r="C28" s="193"/>
      <c r="D28" s="194"/>
      <c r="E28" s="10"/>
    </row>
    <row r="29" spans="1:5" ht="12.75" customHeight="1" x14ac:dyDescent="0.2">
      <c r="A29" s="189" t="s">
        <v>1299</v>
      </c>
      <c r="B29" s="189" t="str">
        <f>Labels!B15</f>
        <v>Cash Flow - Equity Fin</v>
      </c>
      <c r="C29" s="190" t="s">
        <v>607</v>
      </c>
      <c r="D29" s="191" t="s">
        <v>1150</v>
      </c>
      <c r="E29" s="192" t="s">
        <v>48</v>
      </c>
    </row>
    <row r="30" spans="1:5" ht="12.75" customHeight="1" x14ac:dyDescent="0.2">
      <c r="A30" s="189"/>
      <c r="B30" s="189"/>
      <c r="C30" s="190" t="s">
        <v>1510</v>
      </c>
      <c r="D30" s="191" t="s">
        <v>1150</v>
      </c>
      <c r="E30" s="192" t="s">
        <v>1013</v>
      </c>
    </row>
    <row r="31" spans="1:5" ht="12.75" customHeight="1" x14ac:dyDescent="0.2">
      <c r="A31" s="189"/>
      <c r="B31" s="189"/>
      <c r="C31" s="190" t="s">
        <v>496</v>
      </c>
      <c r="D31" s="191" t="s">
        <v>1150</v>
      </c>
      <c r="E31" s="192" t="s">
        <v>242</v>
      </c>
    </row>
    <row r="32" spans="1:5" ht="12.75" customHeight="1" x14ac:dyDescent="0.2">
      <c r="A32" s="189"/>
      <c r="B32" s="189"/>
      <c r="C32" s="190" t="s">
        <v>1319</v>
      </c>
      <c r="D32" s="191" t="s">
        <v>1150</v>
      </c>
      <c r="E32" s="192" t="s">
        <v>1148</v>
      </c>
    </row>
    <row r="33" spans="1:5" ht="12.75" customHeight="1" x14ac:dyDescent="0.2">
      <c r="A33" s="189"/>
      <c r="B33" s="189"/>
      <c r="C33" s="190" t="s">
        <v>268</v>
      </c>
      <c r="D33" s="191" t="s">
        <v>1150</v>
      </c>
      <c r="E33" s="192" t="s">
        <v>610</v>
      </c>
    </row>
    <row r="34" spans="1:5" ht="12.75" customHeight="1" x14ac:dyDescent="0.2">
      <c r="A34" s="10"/>
      <c r="B34" s="10"/>
      <c r="C34" s="193"/>
      <c r="D34" s="194"/>
      <c r="E34" s="10"/>
    </row>
    <row r="35" spans="1:5" ht="12.75" customHeight="1" x14ac:dyDescent="0.2">
      <c r="A35" s="189" t="s">
        <v>618</v>
      </c>
      <c r="B35" s="189" t="str">
        <f>Labels!B16</f>
        <v>Cash Flow - Fixed Invest</v>
      </c>
      <c r="C35" s="190" t="s">
        <v>149</v>
      </c>
      <c r="D35" s="191" t="s">
        <v>1150</v>
      </c>
      <c r="E35" s="192" t="s">
        <v>137</v>
      </c>
    </row>
    <row r="36" spans="1:5" ht="12.75" customHeight="1" x14ac:dyDescent="0.2">
      <c r="A36" s="10"/>
      <c r="B36" s="10"/>
      <c r="C36" s="193"/>
      <c r="D36" s="194"/>
      <c r="E36" s="10"/>
    </row>
    <row r="37" spans="1:5" ht="12.75" customHeight="1" x14ac:dyDescent="0.2">
      <c r="A37" s="189" t="s">
        <v>48</v>
      </c>
      <c r="B37" s="189" t="str">
        <f>Labels!B17</f>
        <v xml:space="preserve">Cash Flow - Fixed Investment </v>
      </c>
      <c r="C37" s="190" t="s">
        <v>149</v>
      </c>
      <c r="D37" s="191" t="s">
        <v>1150</v>
      </c>
      <c r="E37" s="192" t="s">
        <v>688</v>
      </c>
    </row>
    <row r="38" spans="1:5" ht="12.75" customHeight="1" x14ac:dyDescent="0.2">
      <c r="A38" s="10"/>
      <c r="B38" s="10"/>
      <c r="C38" s="193"/>
      <c r="D38" s="194"/>
      <c r="E38" s="10"/>
    </row>
    <row r="39" spans="1:5" ht="12.75" customHeight="1" x14ac:dyDescent="0.2">
      <c r="A39" s="189" t="s">
        <v>1148</v>
      </c>
      <c r="B39" s="189" t="str">
        <f>Labels!B18</f>
        <v>IInvestment Tax Credit</v>
      </c>
      <c r="C39" s="190" t="s">
        <v>888</v>
      </c>
      <c r="D39" s="191" t="s">
        <v>1150</v>
      </c>
      <c r="E39" s="192" t="s">
        <v>626</v>
      </c>
    </row>
    <row r="40" spans="1:5" ht="12.75" customHeight="1" x14ac:dyDescent="0.2">
      <c r="A40" s="10"/>
      <c r="B40" s="10"/>
      <c r="C40" s="193"/>
      <c r="D40" s="194"/>
      <c r="E40" s="10"/>
    </row>
    <row r="41" spans="1:5" ht="12.75" customHeight="1" x14ac:dyDescent="0.2">
      <c r="A41" s="189" t="s">
        <v>1550</v>
      </c>
      <c r="B41" s="189" t="str">
        <f>Labels!B19</f>
        <v>IInvestment Tax Credit</v>
      </c>
      <c r="C41" s="190" t="s">
        <v>888</v>
      </c>
      <c r="D41" s="191" t="s">
        <v>1150</v>
      </c>
      <c r="E41" s="192" t="s">
        <v>92</v>
      </c>
    </row>
    <row r="42" spans="1:5" ht="12.75" customHeight="1" x14ac:dyDescent="0.2">
      <c r="A42" s="10"/>
      <c r="B42" s="10"/>
      <c r="C42" s="193"/>
      <c r="D42" s="194"/>
      <c r="E42" s="10"/>
    </row>
    <row r="43" spans="1:5" ht="12.75" customHeight="1" x14ac:dyDescent="0.2">
      <c r="A43" s="189" t="s">
        <v>887</v>
      </c>
      <c r="B43" s="189" t="str">
        <f>Labels!B20</f>
        <v>Cash Flow</v>
      </c>
      <c r="C43" s="190" t="s">
        <v>540</v>
      </c>
      <c r="D43" s="191" t="s">
        <v>1150</v>
      </c>
      <c r="E43" s="192" t="s">
        <v>85</v>
      </c>
    </row>
    <row r="44" spans="1:5" ht="12.75" customHeight="1" x14ac:dyDescent="0.2">
      <c r="A44" s="10"/>
      <c r="B44" s="10"/>
      <c r="C44" s="193"/>
      <c r="D44" s="194"/>
      <c r="E44" s="10"/>
    </row>
    <row r="45" spans="1:5" ht="12.75" customHeight="1" x14ac:dyDescent="0.2">
      <c r="A45" s="189" t="s">
        <v>1013</v>
      </c>
      <c r="B45" s="189" t="str">
        <f>Labels!B21</f>
        <v>Cash Flow - Working Cap</v>
      </c>
      <c r="C45" s="190" t="s">
        <v>604</v>
      </c>
      <c r="D45" s="191" t="s">
        <v>1150</v>
      </c>
      <c r="E45" s="192" t="s">
        <v>32</v>
      </c>
    </row>
    <row r="46" spans="1:5" ht="12.75" customHeight="1" x14ac:dyDescent="0.2">
      <c r="A46" s="10"/>
      <c r="B46" s="10"/>
      <c r="C46" s="193"/>
      <c r="D46" s="194"/>
      <c r="E46" s="10"/>
    </row>
    <row r="47" spans="1:5" ht="12.75" customHeight="1" x14ac:dyDescent="0.2">
      <c r="A47" s="189" t="s">
        <v>274</v>
      </c>
      <c r="B47" s="189" t="str">
        <f>Labels!B22</f>
        <v>Company Name</v>
      </c>
      <c r="C47" s="190"/>
      <c r="D47" s="191"/>
      <c r="E47" s="192"/>
    </row>
    <row r="48" spans="1:5" ht="12.75" customHeight="1" x14ac:dyDescent="0.2">
      <c r="A48" s="10"/>
      <c r="B48" s="10"/>
      <c r="C48" s="193"/>
      <c r="D48" s="194"/>
      <c r="E48" s="10"/>
    </row>
    <row r="49" spans="1:5" ht="12.75" customHeight="1" x14ac:dyDescent="0.2">
      <c r="A49" s="189" t="s">
        <v>83</v>
      </c>
      <c r="B49" s="189" t="str">
        <f>Labels!B23</f>
        <v>End Date</v>
      </c>
      <c r="C49" s="190" t="s">
        <v>960</v>
      </c>
      <c r="D49" s="191" t="s">
        <v>1150</v>
      </c>
      <c r="E49" s="192" t="s">
        <v>844</v>
      </c>
    </row>
    <row r="50" spans="1:5" ht="12.75" customHeight="1" x14ac:dyDescent="0.2">
      <c r="A50" s="10"/>
      <c r="B50" s="10"/>
      <c r="C50" s="193"/>
      <c r="D50" s="194"/>
      <c r="E50" s="10"/>
    </row>
    <row r="51" spans="1:5" ht="12.75" customHeight="1" x14ac:dyDescent="0.2">
      <c r="A51" s="189" t="s">
        <v>1533</v>
      </c>
      <c r="B51" s="189" t="str">
        <f>Labels!B24</f>
        <v>Start Date</v>
      </c>
      <c r="C51" s="190" t="s">
        <v>960</v>
      </c>
      <c r="D51" s="191" t="s">
        <v>1150</v>
      </c>
      <c r="E51" s="192" t="s">
        <v>704</v>
      </c>
    </row>
    <row r="52" spans="1:5" ht="12.75" customHeight="1" x14ac:dyDescent="0.2">
      <c r="A52" s="10"/>
      <c r="B52" s="10"/>
      <c r="C52" s="193"/>
      <c r="D52" s="194"/>
      <c r="E52" s="10"/>
    </row>
    <row r="53" spans="1:5" ht="12.75" customHeight="1" x14ac:dyDescent="0.2">
      <c r="A53" s="189" t="s">
        <v>1530</v>
      </c>
      <c r="B53" s="189" t="str">
        <f>Labels!B25</f>
        <v>Discounted Cash Flow</v>
      </c>
      <c r="C53" s="190" t="s">
        <v>189</v>
      </c>
      <c r="D53" s="191" t="s">
        <v>1150</v>
      </c>
      <c r="E53" s="192" t="s">
        <v>427</v>
      </c>
    </row>
    <row r="54" spans="1:5" ht="12.75" customHeight="1" x14ac:dyDescent="0.2">
      <c r="A54" s="10"/>
      <c r="B54" s="10"/>
      <c r="C54" s="193"/>
      <c r="D54" s="194"/>
      <c r="E54" s="10"/>
    </row>
    <row r="55" spans="1:5" ht="12.75" customHeight="1" x14ac:dyDescent="0.2">
      <c r="A55" s="189" t="s">
        <v>1362</v>
      </c>
      <c r="B55" s="189" t="str">
        <f>Labels!B26</f>
        <v>Cumulative DCF</v>
      </c>
      <c r="C55" s="190" t="s">
        <v>540</v>
      </c>
      <c r="D55" s="191" t="s">
        <v>1150</v>
      </c>
      <c r="E55" s="192" t="s">
        <v>317</v>
      </c>
    </row>
    <row r="56" spans="1:5" ht="12.75" customHeight="1" x14ac:dyDescent="0.2">
      <c r="A56" s="10"/>
      <c r="B56" s="10"/>
      <c r="C56" s="193"/>
      <c r="D56" s="194"/>
      <c r="E56" s="10"/>
    </row>
    <row r="57" spans="1:5" ht="12.75" customHeight="1" x14ac:dyDescent="0.2">
      <c r="A57" s="189" t="s">
        <v>1551</v>
      </c>
      <c r="B57" s="189" t="str">
        <f>Labels!B27</f>
        <v>Cum DCF</v>
      </c>
      <c r="C57" s="190" t="s">
        <v>540</v>
      </c>
      <c r="D57" s="191" t="s">
        <v>1150</v>
      </c>
      <c r="E57" s="192" t="s">
        <v>1362</v>
      </c>
    </row>
    <row r="58" spans="1:5" ht="12.75" customHeight="1" x14ac:dyDescent="0.2">
      <c r="A58" s="10"/>
      <c r="B58" s="10"/>
      <c r="C58" s="193"/>
      <c r="D58" s="194"/>
      <c r="E58" s="10"/>
    </row>
    <row r="59" spans="1:5" ht="12.75" customHeight="1" x14ac:dyDescent="0.2">
      <c r="A59" s="189" t="s">
        <v>293</v>
      </c>
      <c r="B59" s="189" t="str">
        <f>Labels!B28</f>
        <v>DCF - Equity Fin</v>
      </c>
      <c r="C59" s="190" t="s">
        <v>1252</v>
      </c>
      <c r="D59" s="191" t="s">
        <v>1150</v>
      </c>
      <c r="E59" s="192" t="s">
        <v>117</v>
      </c>
    </row>
    <row r="60" spans="1:5" ht="12.75" customHeight="1" x14ac:dyDescent="0.2">
      <c r="A60" s="10"/>
      <c r="B60" s="10"/>
      <c r="C60" s="193"/>
      <c r="D60" s="194"/>
      <c r="E60" s="10"/>
    </row>
    <row r="61" spans="1:5" ht="12.75" customHeight="1" x14ac:dyDescent="0.2">
      <c r="A61" s="189" t="s">
        <v>65</v>
      </c>
      <c r="B61" s="189" t="str">
        <f>Labels!B29</f>
        <v>DCF</v>
      </c>
      <c r="C61" s="190" t="s">
        <v>540</v>
      </c>
      <c r="D61" s="191" t="s">
        <v>1150</v>
      </c>
      <c r="E61" s="192" t="s">
        <v>1530</v>
      </c>
    </row>
    <row r="62" spans="1:5" ht="12.75" customHeight="1" x14ac:dyDescent="0.2">
      <c r="A62" s="10"/>
      <c r="B62" s="10"/>
      <c r="C62" s="193"/>
      <c r="D62" s="194"/>
      <c r="E62" s="10"/>
    </row>
    <row r="63" spans="1:5" ht="12.75" customHeight="1" x14ac:dyDescent="0.2">
      <c r="A63" s="189" t="s">
        <v>1063</v>
      </c>
      <c r="B63" s="189" t="str">
        <f>Labels!B30</f>
        <v>Debt Balloon Payment</v>
      </c>
      <c r="C63" s="190"/>
      <c r="D63" s="191"/>
      <c r="E63" s="192"/>
    </row>
    <row r="64" spans="1:5" ht="12.75" customHeight="1" x14ac:dyDescent="0.2">
      <c r="A64" s="10"/>
      <c r="B64" s="10"/>
      <c r="C64" s="193"/>
      <c r="D64" s="194"/>
      <c r="E64" s="10"/>
    </row>
    <row r="65" spans="1:5" ht="12.75" customHeight="1" x14ac:dyDescent="0.2">
      <c r="A65" s="189" t="s">
        <v>1176</v>
      </c>
      <c r="B65" s="189" t="str">
        <f>Labels!B31</f>
        <v>Debt Interest Payments</v>
      </c>
      <c r="C65" s="190" t="s">
        <v>888</v>
      </c>
      <c r="D65" s="191" t="s">
        <v>1150</v>
      </c>
      <c r="E65" s="192" t="s">
        <v>1228</v>
      </c>
    </row>
    <row r="66" spans="1:5" ht="12.75" customHeight="1" x14ac:dyDescent="0.2">
      <c r="A66" s="10"/>
      <c r="B66" s="10"/>
      <c r="C66" s="193"/>
      <c r="D66" s="194"/>
      <c r="E66" s="10"/>
    </row>
    <row r="67" spans="1:5" ht="12.75" customHeight="1" x14ac:dyDescent="0.2">
      <c r="A67" s="189" t="s">
        <v>627</v>
      </c>
      <c r="B67" s="189" t="str">
        <f>Labels!B32</f>
        <v>Debt Principal</v>
      </c>
      <c r="C67" s="190" t="s">
        <v>888</v>
      </c>
      <c r="D67" s="191" t="s">
        <v>1150</v>
      </c>
      <c r="E67" s="192" t="s">
        <v>1188</v>
      </c>
    </row>
    <row r="68" spans="1:5" ht="12.75" customHeight="1" x14ac:dyDescent="0.2">
      <c r="A68" s="10"/>
      <c r="B68" s="10"/>
      <c r="C68" s="193"/>
      <c r="D68" s="194"/>
      <c r="E68" s="10"/>
    </row>
    <row r="69" spans="1:5" ht="12.75" customHeight="1" x14ac:dyDescent="0.2">
      <c r="A69" s="189" t="s">
        <v>784</v>
      </c>
      <c r="B69" s="189" t="str">
        <f>Labels!B33</f>
        <v>Change Debt Principal</v>
      </c>
      <c r="C69" s="190" t="s">
        <v>888</v>
      </c>
      <c r="D69" s="191" t="s">
        <v>1150</v>
      </c>
      <c r="E69" s="192" t="s">
        <v>1371</v>
      </c>
    </row>
    <row r="70" spans="1:5" ht="12.75" customHeight="1" x14ac:dyDescent="0.2">
      <c r="A70" s="10"/>
      <c r="B70" s="10"/>
      <c r="C70" s="193"/>
      <c r="D70" s="194"/>
      <c r="E70" s="10"/>
    </row>
    <row r="71" spans="1:5" ht="12.75" customHeight="1" x14ac:dyDescent="0.2">
      <c r="A71" s="189" t="s">
        <v>11</v>
      </c>
      <c r="B71" s="189" t="str">
        <f>Labels!B34</f>
        <v>Depreciation</v>
      </c>
      <c r="C71" s="190" t="s">
        <v>888</v>
      </c>
      <c r="D71" s="191" t="s">
        <v>1150</v>
      </c>
      <c r="E71" s="192" t="s">
        <v>1199</v>
      </c>
    </row>
    <row r="72" spans="1:5" ht="12.75" customHeight="1" x14ac:dyDescent="0.2">
      <c r="A72" s="10"/>
      <c r="B72" s="10"/>
      <c r="C72" s="193"/>
      <c r="D72" s="194"/>
      <c r="E72" s="10"/>
    </row>
    <row r="73" spans="1:5" ht="12.75" customHeight="1" x14ac:dyDescent="0.2">
      <c r="A73" s="189" t="s">
        <v>343</v>
      </c>
      <c r="B73" s="189" t="str">
        <f>Labels!B35</f>
        <v>Depreciation</v>
      </c>
      <c r="C73" s="190" t="s">
        <v>888</v>
      </c>
      <c r="D73" s="191" t="s">
        <v>1150</v>
      </c>
      <c r="E73" s="192" t="s">
        <v>1353</v>
      </c>
    </row>
    <row r="74" spans="1:5" ht="12.75" customHeight="1" x14ac:dyDescent="0.2">
      <c r="A74" s="10"/>
      <c r="B74" s="10"/>
      <c r="C74" s="193"/>
      <c r="D74" s="194"/>
      <c r="E74" s="10"/>
    </row>
    <row r="75" spans="1:5" ht="12.75" customHeight="1" x14ac:dyDescent="0.2">
      <c r="A75" s="189" t="s">
        <v>1328</v>
      </c>
      <c r="B75" s="189" t="str">
        <f>Labels!B36</f>
        <v>Depreciation Exp - Taxes</v>
      </c>
      <c r="C75" s="190" t="s">
        <v>888</v>
      </c>
      <c r="D75" s="191" t="s">
        <v>1150</v>
      </c>
      <c r="E75" s="192" t="s">
        <v>909</v>
      </c>
    </row>
    <row r="76" spans="1:5" ht="12.75" customHeight="1" x14ac:dyDescent="0.2">
      <c r="A76" s="10"/>
      <c r="B76" s="10"/>
      <c r="C76" s="193"/>
      <c r="D76" s="194"/>
      <c r="E76" s="10"/>
    </row>
    <row r="77" spans="1:5" ht="12.75" customHeight="1" x14ac:dyDescent="0.2">
      <c r="A77" s="189" t="s">
        <v>28</v>
      </c>
      <c r="B77" s="189" t="str">
        <f>Labels!B37</f>
        <v>Deprec Method</v>
      </c>
      <c r="C77" s="190"/>
      <c r="D77" s="191"/>
      <c r="E77" s="192"/>
    </row>
    <row r="78" spans="1:5" ht="12.75" customHeight="1" x14ac:dyDescent="0.2">
      <c r="A78" s="10"/>
      <c r="B78" s="10"/>
      <c r="C78" s="193"/>
      <c r="D78" s="194"/>
      <c r="E78" s="10"/>
    </row>
    <row r="79" spans="1:5" ht="12.75" customHeight="1" x14ac:dyDescent="0.2">
      <c r="A79" s="189" t="s">
        <v>473</v>
      </c>
      <c r="B79" s="189" t="str">
        <f>Labels!B38</f>
        <v>Tax Deprec Method</v>
      </c>
      <c r="C79" s="190"/>
      <c r="D79" s="191"/>
      <c r="E79" s="192"/>
    </row>
    <row r="80" spans="1:5" ht="12.75" customHeight="1" x14ac:dyDescent="0.2">
      <c r="A80" s="10"/>
      <c r="B80" s="10"/>
      <c r="C80" s="193"/>
      <c r="D80" s="194"/>
      <c r="E80" s="10"/>
    </row>
    <row r="81" spans="1:5" ht="12.75" customHeight="1" x14ac:dyDescent="0.2">
      <c r="A81" s="189" t="s">
        <v>879</v>
      </c>
      <c r="B81" s="189" t="str">
        <f>Labels!B39</f>
        <v>Discount Factor</v>
      </c>
      <c r="C81" s="190" t="s">
        <v>960</v>
      </c>
      <c r="D81" s="191" t="s">
        <v>1150</v>
      </c>
      <c r="E81" s="192" t="s">
        <v>743</v>
      </c>
    </row>
    <row r="82" spans="1:5" ht="12.75" customHeight="1" x14ac:dyDescent="0.2">
      <c r="A82" s="10"/>
      <c r="B82" s="10"/>
      <c r="C82" s="193"/>
      <c r="D82" s="194"/>
      <c r="E82" s="10"/>
    </row>
    <row r="83" spans="1:5" ht="12.75" customHeight="1" x14ac:dyDescent="0.2">
      <c r="A83" s="189" t="s">
        <v>672</v>
      </c>
      <c r="B83" s="189" t="str">
        <f>Labels!B40</f>
        <v>Discount Method (Direct or CAPM)</v>
      </c>
      <c r="C83" s="190"/>
      <c r="D83" s="191"/>
      <c r="E83" s="192"/>
    </row>
    <row r="84" spans="1:5" ht="12.75" customHeight="1" x14ac:dyDescent="0.2">
      <c r="A84" s="10"/>
      <c r="B84" s="10"/>
      <c r="C84" s="193"/>
      <c r="D84" s="194"/>
      <c r="E84" s="10"/>
    </row>
    <row r="85" spans="1:5" ht="12.75" customHeight="1" x14ac:dyDescent="0.2">
      <c r="A85" s="189" t="s">
        <v>586</v>
      </c>
      <c r="B85" s="189" t="str">
        <f>Labels!B41</f>
        <v>Discount Rate</v>
      </c>
      <c r="C85" s="190" t="s">
        <v>540</v>
      </c>
      <c r="D85" s="191" t="s">
        <v>212</v>
      </c>
      <c r="E85" s="192" t="s">
        <v>659</v>
      </c>
    </row>
    <row r="86" spans="1:5" ht="12.75" customHeight="1" x14ac:dyDescent="0.2">
      <c r="A86" s="10"/>
      <c r="B86" s="10"/>
      <c r="C86" s="193"/>
      <c r="D86" s="194"/>
      <c r="E86" s="10"/>
    </row>
    <row r="87" spans="1:5" ht="12.75" customHeight="1" x14ac:dyDescent="0.2">
      <c r="A87" s="189" t="s">
        <v>940</v>
      </c>
      <c r="B87" s="189" t="str">
        <f>Labels!B42</f>
        <v>Discount Rate (Yr)</v>
      </c>
      <c r="C87" s="190" t="s">
        <v>540</v>
      </c>
      <c r="D87" s="191" t="s">
        <v>212</v>
      </c>
      <c r="E87" s="192" t="s">
        <v>814</v>
      </c>
    </row>
    <row r="88" spans="1:5" ht="12.75" customHeight="1" x14ac:dyDescent="0.2">
      <c r="A88" s="10"/>
      <c r="B88" s="10"/>
      <c r="C88" s="193"/>
      <c r="D88" s="194"/>
      <c r="E88" s="10"/>
    </row>
    <row r="89" spans="1:5" ht="12.75" customHeight="1" x14ac:dyDescent="0.2">
      <c r="A89" s="189" t="s">
        <v>105</v>
      </c>
      <c r="B89" s="189" t="str">
        <f>Labels!B43</f>
        <v>Discount Rate Default</v>
      </c>
      <c r="C89" s="190" t="s">
        <v>540</v>
      </c>
      <c r="D89" s="191" t="s">
        <v>1150</v>
      </c>
      <c r="E89" s="192" t="s">
        <v>302</v>
      </c>
    </row>
    <row r="90" spans="1:5" ht="12.75" customHeight="1" x14ac:dyDescent="0.2">
      <c r="A90" s="10"/>
      <c r="B90" s="10"/>
      <c r="C90" s="193"/>
      <c r="D90" s="194"/>
      <c r="E90" s="10"/>
    </row>
    <row r="91" spans="1:5" ht="12.75" customHeight="1" x14ac:dyDescent="0.2">
      <c r="A91" s="189" t="s">
        <v>128</v>
      </c>
      <c r="B91" s="189" t="str">
        <f>Labels!B44</f>
        <v>Discount Rate Default (Yr)</v>
      </c>
      <c r="C91" s="190" t="s">
        <v>540</v>
      </c>
      <c r="D91" s="191" t="s">
        <v>1150</v>
      </c>
      <c r="E91" s="192" t="s">
        <v>600</v>
      </c>
    </row>
    <row r="92" spans="1:5" ht="12.75" customHeight="1" x14ac:dyDescent="0.2">
      <c r="A92" s="10"/>
      <c r="B92" s="10"/>
      <c r="C92" s="193"/>
      <c r="D92" s="194"/>
      <c r="E92" s="10"/>
    </row>
    <row r="93" spans="1:5" ht="12.75" customHeight="1" x14ac:dyDescent="0.2">
      <c r="A93" s="189" t="s">
        <v>826</v>
      </c>
      <c r="B93" s="189" t="str">
        <f>Labels!B45</f>
        <v>EBIT</v>
      </c>
      <c r="C93" s="190" t="s">
        <v>540</v>
      </c>
      <c r="D93" s="191" t="s">
        <v>1150</v>
      </c>
      <c r="E93" s="192" t="s">
        <v>70</v>
      </c>
    </row>
    <row r="94" spans="1:5" ht="12.75" customHeight="1" x14ac:dyDescent="0.2">
      <c r="A94" s="10"/>
      <c r="B94" s="10"/>
      <c r="C94" s="193"/>
      <c r="D94" s="194"/>
      <c r="E94" s="10"/>
    </row>
    <row r="95" spans="1:5" ht="12.75" customHeight="1" x14ac:dyDescent="0.2">
      <c r="A95" s="189" t="s">
        <v>1444</v>
      </c>
      <c r="B95" s="189" t="str">
        <f>Labels!B46</f>
        <v>EBIT</v>
      </c>
      <c r="C95" s="190" t="s">
        <v>540</v>
      </c>
      <c r="D95" s="191" t="s">
        <v>1150</v>
      </c>
      <c r="E95" s="192" t="s">
        <v>919</v>
      </c>
    </row>
    <row r="96" spans="1:5" ht="12.75" customHeight="1" x14ac:dyDescent="0.2">
      <c r="A96" s="10"/>
      <c r="B96" s="10"/>
      <c r="C96" s="193"/>
      <c r="D96" s="194"/>
      <c r="E96" s="10"/>
    </row>
    <row r="97" spans="1:5" ht="12.75" customHeight="1" x14ac:dyDescent="0.2">
      <c r="A97" s="189" t="s">
        <v>380</v>
      </c>
      <c r="B97" s="189" t="str">
        <f>Labels!B47</f>
        <v>EBITDA</v>
      </c>
      <c r="C97" s="190" t="s">
        <v>540</v>
      </c>
      <c r="D97" s="191" t="s">
        <v>1150</v>
      </c>
      <c r="E97" s="192" t="s">
        <v>510</v>
      </c>
    </row>
    <row r="98" spans="1:5" ht="12.75" customHeight="1" x14ac:dyDescent="0.2">
      <c r="A98" s="10"/>
      <c r="B98" s="10"/>
      <c r="C98" s="193"/>
      <c r="D98" s="194"/>
      <c r="E98" s="10"/>
    </row>
    <row r="99" spans="1:5" ht="12.75" customHeight="1" x14ac:dyDescent="0.2">
      <c r="A99" s="189" t="s">
        <v>257</v>
      </c>
      <c r="B99" s="189" t="str">
        <f>Labels!B48</f>
        <v>EBITDA</v>
      </c>
      <c r="C99" s="190" t="s">
        <v>540</v>
      </c>
      <c r="D99" s="191" t="s">
        <v>1150</v>
      </c>
      <c r="E99" s="192" t="s">
        <v>380</v>
      </c>
    </row>
    <row r="100" spans="1:5" ht="12.75" customHeight="1" x14ac:dyDescent="0.2">
      <c r="A100" s="10"/>
      <c r="B100" s="10"/>
      <c r="C100" s="193"/>
      <c r="D100" s="194"/>
      <c r="E100" s="10"/>
    </row>
    <row r="101" spans="1:5" ht="12.75" customHeight="1" x14ac:dyDescent="0.2">
      <c r="A101" s="189" t="s">
        <v>995</v>
      </c>
      <c r="B101" s="189" t="str">
        <f>Labels!B49</f>
        <v>Fixed Operating Expense</v>
      </c>
      <c r="C101" s="190" t="s">
        <v>1413</v>
      </c>
      <c r="D101" s="191" t="s">
        <v>1150</v>
      </c>
      <c r="E101" s="192" t="s">
        <v>947</v>
      </c>
    </row>
    <row r="102" spans="1:5" ht="12.75" customHeight="1" x14ac:dyDescent="0.2">
      <c r="A102" s="10"/>
      <c r="B102" s="10"/>
      <c r="C102" s="193"/>
      <c r="D102" s="194"/>
      <c r="E102" s="10"/>
    </row>
    <row r="103" spans="1:5" ht="12.75" customHeight="1" x14ac:dyDescent="0.2">
      <c r="A103" s="189" t="s">
        <v>1026</v>
      </c>
      <c r="B103" s="189" t="str">
        <f>Labels!B50</f>
        <v>Fixed Operating Exp Growth %</v>
      </c>
      <c r="C103" s="190" t="s">
        <v>1413</v>
      </c>
      <c r="D103" s="191" t="s">
        <v>1150</v>
      </c>
      <c r="E103" s="192" t="s">
        <v>972</v>
      </c>
    </row>
    <row r="104" spans="1:5" ht="12.75" customHeight="1" x14ac:dyDescent="0.2">
      <c r="A104" s="10"/>
      <c r="B104" s="10"/>
      <c r="C104" s="193"/>
      <c r="D104" s="194"/>
      <c r="E104" s="10"/>
    </row>
    <row r="105" spans="1:5" ht="12.75" customHeight="1" x14ac:dyDescent="0.2">
      <c r="A105" s="189" t="s">
        <v>1547</v>
      </c>
      <c r="B105" s="189" t="str">
        <f>Labels!B51</f>
        <v>Fixed Operating Exp Annualized Growth</v>
      </c>
      <c r="C105" s="190" t="s">
        <v>1413</v>
      </c>
      <c r="D105" s="191" t="s">
        <v>212</v>
      </c>
      <c r="E105" s="192" t="s">
        <v>1451</v>
      </c>
    </row>
    <row r="106" spans="1:5" ht="12.75" customHeight="1" x14ac:dyDescent="0.2">
      <c r="A106" s="10"/>
      <c r="B106" s="10"/>
      <c r="C106" s="193"/>
      <c r="D106" s="194"/>
      <c r="E106" s="10"/>
    </row>
    <row r="107" spans="1:5" ht="12.75" customHeight="1" x14ac:dyDescent="0.2">
      <c r="A107" s="189" t="s">
        <v>865</v>
      </c>
      <c r="B107" s="189" t="str">
        <f>Labels!B52</f>
        <v>Initial Fixed Operating Expense</v>
      </c>
      <c r="C107" s="190" t="s">
        <v>1413</v>
      </c>
      <c r="D107" s="191" t="s">
        <v>1150</v>
      </c>
      <c r="E107" s="192" t="s">
        <v>1012</v>
      </c>
    </row>
    <row r="108" spans="1:5" ht="12.75" customHeight="1" x14ac:dyDescent="0.2">
      <c r="A108" s="10"/>
      <c r="B108" s="10"/>
      <c r="C108" s="193"/>
      <c r="D108" s="194"/>
      <c r="E108" s="10"/>
    </row>
    <row r="109" spans="1:5" ht="12.75" customHeight="1" x14ac:dyDescent="0.2">
      <c r="A109" s="189" t="s">
        <v>1114</v>
      </c>
      <c r="B109" s="189" t="str">
        <f>Labels!B53</f>
        <v>Variable Operating Expense</v>
      </c>
      <c r="C109" s="190" t="s">
        <v>358</v>
      </c>
      <c r="D109" s="191" t="s">
        <v>1150</v>
      </c>
      <c r="E109" s="192" t="s">
        <v>1427</v>
      </c>
    </row>
    <row r="110" spans="1:5" ht="12.75" customHeight="1" x14ac:dyDescent="0.2">
      <c r="A110" s="10"/>
      <c r="B110" s="10"/>
      <c r="C110" s="193"/>
      <c r="D110" s="194"/>
      <c r="E110" s="10"/>
    </row>
    <row r="111" spans="1:5" ht="12.75" customHeight="1" x14ac:dyDescent="0.2">
      <c r="A111" s="189" t="s">
        <v>539</v>
      </c>
      <c r="B111" s="189" t="str">
        <f>Labels!B54</f>
        <v>Variable Operating Exp % Rev</v>
      </c>
      <c r="C111" s="190" t="s">
        <v>358</v>
      </c>
      <c r="D111" s="191" t="s">
        <v>1150</v>
      </c>
      <c r="E111" s="192" t="s">
        <v>1492</v>
      </c>
    </row>
    <row r="112" spans="1:5" ht="12.75" customHeight="1" x14ac:dyDescent="0.2">
      <c r="A112" s="10"/>
      <c r="B112" s="10"/>
      <c r="C112" s="193"/>
      <c r="D112" s="194"/>
      <c r="E112" s="10"/>
    </row>
    <row r="113" spans="1:5" ht="12.75" customHeight="1" x14ac:dyDescent="0.2">
      <c r="A113" s="189" t="s">
        <v>458</v>
      </c>
      <c r="B113" s="189" t="str">
        <f>Labels!B55</f>
        <v>Financial Exp &amp; Tax</v>
      </c>
      <c r="C113" s="190" t="s">
        <v>295</v>
      </c>
      <c r="D113" s="191" t="s">
        <v>1150</v>
      </c>
      <c r="E113" s="192" t="s">
        <v>1176</v>
      </c>
    </row>
    <row r="114" spans="1:5" ht="12.75" customHeight="1" x14ac:dyDescent="0.2">
      <c r="A114" s="189"/>
      <c r="B114" s="189"/>
      <c r="C114" s="190" t="s">
        <v>1332</v>
      </c>
      <c r="D114" s="191" t="s">
        <v>1150</v>
      </c>
      <c r="E114" s="192" t="s">
        <v>1139</v>
      </c>
    </row>
    <row r="115" spans="1:5" ht="12.75" customHeight="1" x14ac:dyDescent="0.2">
      <c r="A115" s="189"/>
      <c r="B115" s="189"/>
      <c r="C115" s="190" t="s">
        <v>491</v>
      </c>
      <c r="D115" s="191" t="s">
        <v>1150</v>
      </c>
      <c r="E115" s="192" t="s">
        <v>705</v>
      </c>
    </row>
    <row r="116" spans="1:5" ht="12.75" customHeight="1" x14ac:dyDescent="0.2">
      <c r="A116" s="10"/>
      <c r="B116" s="10"/>
      <c r="C116" s="193"/>
      <c r="D116" s="194"/>
      <c r="E116" s="10"/>
    </row>
    <row r="117" spans="1:5" ht="12.75" customHeight="1" x14ac:dyDescent="0.2">
      <c r="A117" s="189" t="s">
        <v>454</v>
      </c>
      <c r="B117" s="189" t="str">
        <f>Labels!B56</f>
        <v>Financing Weights</v>
      </c>
      <c r="C117" s="190" t="s">
        <v>949</v>
      </c>
      <c r="D117" s="191" t="s">
        <v>1150</v>
      </c>
      <c r="E117" s="192" t="s">
        <v>1400</v>
      </c>
    </row>
    <row r="118" spans="1:5" ht="12.75" customHeight="1" x14ac:dyDescent="0.2">
      <c r="A118" s="189"/>
      <c r="B118" s="189"/>
      <c r="C118" s="190"/>
      <c r="D118" s="191" t="s">
        <v>212</v>
      </c>
      <c r="E118" s="192" t="s">
        <v>802</v>
      </c>
    </row>
    <row r="119" spans="1:5" ht="12.75" customHeight="1" x14ac:dyDescent="0.2">
      <c r="A119" s="10"/>
      <c r="B119" s="10"/>
      <c r="C119" s="193"/>
      <c r="D119" s="194"/>
      <c r="E119" s="10"/>
    </row>
    <row r="120" spans="1:5" ht="12.75" customHeight="1" x14ac:dyDescent="0.2">
      <c r="A120" s="189" t="s">
        <v>1129</v>
      </c>
      <c r="B120" s="189" t="str">
        <f>Labels!B57</f>
        <v>Financing Weights</v>
      </c>
      <c r="C120" s="190" t="s">
        <v>1365</v>
      </c>
      <c r="D120" s="191" t="s">
        <v>1150</v>
      </c>
      <c r="E120" s="192" t="s">
        <v>1012</v>
      </c>
    </row>
    <row r="121" spans="1:5" ht="12.75" customHeight="1" x14ac:dyDescent="0.2">
      <c r="A121" s="189"/>
      <c r="B121" s="189"/>
      <c r="C121" s="190" t="s">
        <v>1264</v>
      </c>
      <c r="D121" s="191" t="s">
        <v>1150</v>
      </c>
      <c r="E121" s="192" t="s">
        <v>1012</v>
      </c>
    </row>
    <row r="122" spans="1:5" ht="12.75" customHeight="1" x14ac:dyDescent="0.2">
      <c r="A122" s="189"/>
      <c r="B122" s="189"/>
      <c r="C122" s="190" t="s">
        <v>848</v>
      </c>
      <c r="D122" s="191" t="s">
        <v>1150</v>
      </c>
      <c r="E122" s="192" t="s">
        <v>1012</v>
      </c>
    </row>
    <row r="123" spans="1:5" ht="12.75" customHeight="1" x14ac:dyDescent="0.2">
      <c r="A123" s="189"/>
      <c r="B123" s="189"/>
      <c r="C123" s="190" t="s">
        <v>1140</v>
      </c>
      <c r="D123" s="191" t="s">
        <v>1150</v>
      </c>
      <c r="E123" s="192" t="s">
        <v>1213</v>
      </c>
    </row>
    <row r="124" spans="1:5" ht="12.75" customHeight="1" x14ac:dyDescent="0.2">
      <c r="A124" s="189"/>
      <c r="B124" s="189"/>
      <c r="C124" s="190"/>
      <c r="D124" s="191" t="s">
        <v>212</v>
      </c>
      <c r="E124" s="192" t="s">
        <v>187</v>
      </c>
    </row>
    <row r="125" spans="1:5" ht="12.75" customHeight="1" x14ac:dyDescent="0.2">
      <c r="A125" s="10"/>
      <c r="B125" s="10"/>
      <c r="C125" s="193"/>
      <c r="D125" s="194"/>
      <c r="E125" s="10"/>
    </row>
    <row r="126" spans="1:5" ht="12.75" customHeight="1" x14ac:dyDescent="0.2">
      <c r="A126" s="189" t="s">
        <v>650</v>
      </c>
      <c r="B126" s="189" t="str">
        <f>Labels!B58</f>
        <v>Financial Leverage</v>
      </c>
      <c r="C126" s="190" t="s">
        <v>540</v>
      </c>
      <c r="D126" s="191" t="s">
        <v>212</v>
      </c>
      <c r="E126" s="192" t="s">
        <v>1577</v>
      </c>
    </row>
    <row r="127" spans="1:5" ht="12.75" customHeight="1" x14ac:dyDescent="0.2">
      <c r="A127" s="10"/>
      <c r="B127" s="10"/>
      <c r="C127" s="193"/>
      <c r="D127" s="194"/>
      <c r="E127" s="10"/>
    </row>
    <row r="128" spans="1:5" ht="12.75" customHeight="1" x14ac:dyDescent="0.2">
      <c r="A128" s="189" t="s">
        <v>677</v>
      </c>
      <c r="B128" s="189" t="str">
        <f>Labels!B59</f>
        <v>Financing Scenario</v>
      </c>
      <c r="C128" s="190"/>
      <c r="D128" s="191"/>
      <c r="E128" s="192"/>
    </row>
    <row r="129" spans="1:5" ht="12.75" customHeight="1" x14ac:dyDescent="0.2">
      <c r="A129" s="10"/>
      <c r="B129" s="10"/>
      <c r="C129" s="193"/>
      <c r="D129" s="194"/>
      <c r="E129" s="10"/>
    </row>
    <row r="130" spans="1:5" ht="12.75" customHeight="1" x14ac:dyDescent="0.2">
      <c r="A130" s="189" t="s">
        <v>705</v>
      </c>
      <c r="B130" s="189" t="str">
        <f>Labels!B60</f>
        <v>Income Tax</v>
      </c>
      <c r="C130" s="190" t="s">
        <v>540</v>
      </c>
      <c r="D130" s="191" t="s">
        <v>1150</v>
      </c>
      <c r="E130" s="192" t="s">
        <v>1335</v>
      </c>
    </row>
    <row r="131" spans="1:5" ht="12.75" customHeight="1" x14ac:dyDescent="0.2">
      <c r="A131" s="10"/>
      <c r="B131" s="10"/>
      <c r="C131" s="193"/>
      <c r="D131" s="194"/>
      <c r="E131" s="10"/>
    </row>
    <row r="132" spans="1:5" ht="12.75" customHeight="1" x14ac:dyDescent="0.2">
      <c r="A132" s="189" t="s">
        <v>776</v>
      </c>
      <c r="B132" s="189" t="str">
        <f>Labels!B61</f>
        <v>Income Tax - Equity Fin</v>
      </c>
      <c r="C132" s="190" t="s">
        <v>540</v>
      </c>
      <c r="D132" s="191" t="s">
        <v>1150</v>
      </c>
      <c r="E132" s="192" t="s">
        <v>386</v>
      </c>
    </row>
    <row r="133" spans="1:5" ht="12.75" customHeight="1" x14ac:dyDescent="0.2">
      <c r="A133" s="10"/>
      <c r="B133" s="10"/>
      <c r="C133" s="193"/>
      <c r="D133" s="194"/>
      <c r="E133" s="10"/>
    </row>
    <row r="134" spans="1:5" ht="12.75" customHeight="1" x14ac:dyDescent="0.2">
      <c r="A134" s="189" t="s">
        <v>1578</v>
      </c>
      <c r="B134" s="189" t="str">
        <f>Labels!B62</f>
        <v>Income Tax Rate</v>
      </c>
      <c r="C134" s="190" t="s">
        <v>960</v>
      </c>
      <c r="D134" s="191" t="s">
        <v>1150</v>
      </c>
      <c r="E134" s="192" t="s">
        <v>1158</v>
      </c>
    </row>
    <row r="135" spans="1:5" ht="12.75" customHeight="1" x14ac:dyDescent="0.2">
      <c r="A135" s="10"/>
      <c r="B135" s="10"/>
      <c r="C135" s="193"/>
      <c r="D135" s="194"/>
      <c r="E135" s="10"/>
    </row>
    <row r="136" spans="1:5" ht="12.75" customHeight="1" x14ac:dyDescent="0.2">
      <c r="A136" s="189" t="s">
        <v>913</v>
      </c>
      <c r="B136" s="189" t="str">
        <f>Labels!B63</f>
        <v>Invest Deprec Time (period)</v>
      </c>
      <c r="C136" s="190" t="s">
        <v>888</v>
      </c>
      <c r="D136" s="191" t="s">
        <v>1150</v>
      </c>
      <c r="E136" s="192" t="s">
        <v>522</v>
      </c>
    </row>
    <row r="137" spans="1:5" ht="12.75" customHeight="1" x14ac:dyDescent="0.2">
      <c r="A137" s="189"/>
      <c r="B137" s="189"/>
      <c r="C137" s="190"/>
      <c r="D137" s="191" t="s">
        <v>212</v>
      </c>
      <c r="E137" s="192" t="s">
        <v>467</v>
      </c>
    </row>
    <row r="138" spans="1:5" ht="12.75" customHeight="1" x14ac:dyDescent="0.2">
      <c r="A138" s="10"/>
      <c r="B138" s="10"/>
      <c r="C138" s="193"/>
      <c r="D138" s="194"/>
      <c r="E138" s="10"/>
    </row>
    <row r="139" spans="1:5" ht="12.75" customHeight="1" x14ac:dyDescent="0.2">
      <c r="A139" s="189" t="s">
        <v>0</v>
      </c>
      <c r="B139" s="189" t="str">
        <f>Labels!B64</f>
        <v>Invest Physical Time (period)</v>
      </c>
      <c r="C139" s="190" t="s">
        <v>888</v>
      </c>
      <c r="D139" s="191" t="s">
        <v>1150</v>
      </c>
      <c r="E139" s="192" t="s">
        <v>1513</v>
      </c>
    </row>
    <row r="140" spans="1:5" ht="12.75" customHeight="1" x14ac:dyDescent="0.2">
      <c r="A140" s="189"/>
      <c r="B140" s="189"/>
      <c r="C140" s="190"/>
      <c r="D140" s="191" t="s">
        <v>212</v>
      </c>
      <c r="E140" s="192" t="s">
        <v>346</v>
      </c>
    </row>
    <row r="141" spans="1:5" ht="12.75" customHeight="1" x14ac:dyDescent="0.2">
      <c r="A141" s="10"/>
      <c r="B141" s="10"/>
      <c r="C141" s="193"/>
      <c r="D141" s="194"/>
      <c r="E141" s="10"/>
    </row>
    <row r="142" spans="1:5" ht="12.75" customHeight="1" x14ac:dyDescent="0.2">
      <c r="A142" s="189" t="s">
        <v>1016</v>
      </c>
      <c r="B142" s="189" t="str">
        <f>Labels!B65</f>
        <v>Investment Date</v>
      </c>
      <c r="C142" s="190" t="s">
        <v>888</v>
      </c>
      <c r="D142" s="191" t="s">
        <v>1150</v>
      </c>
      <c r="E142" s="192" t="s">
        <v>1274</v>
      </c>
    </row>
    <row r="143" spans="1:5" ht="12.75" customHeight="1" x14ac:dyDescent="0.2">
      <c r="A143" s="10"/>
      <c r="B143" s="10"/>
      <c r="C143" s="193"/>
      <c r="D143" s="194"/>
      <c r="E143" s="10"/>
    </row>
    <row r="144" spans="1:5" ht="12.75" customHeight="1" x14ac:dyDescent="0.2">
      <c r="A144" s="189" t="s">
        <v>1396</v>
      </c>
      <c r="B144" s="189" t="str">
        <f>Labels!B66</f>
        <v>First Investment Date</v>
      </c>
      <c r="C144" s="190" t="s">
        <v>540</v>
      </c>
      <c r="D144" s="191" t="s">
        <v>1150</v>
      </c>
      <c r="E144" s="192" t="s">
        <v>120</v>
      </c>
    </row>
    <row r="145" spans="1:5" ht="12.75" customHeight="1" x14ac:dyDescent="0.2">
      <c r="A145" s="189"/>
      <c r="B145" s="189"/>
      <c r="C145" s="190"/>
      <c r="D145" s="191" t="s">
        <v>212</v>
      </c>
      <c r="E145" s="192" t="s">
        <v>1222</v>
      </c>
    </row>
    <row r="146" spans="1:5" ht="12.75" customHeight="1" x14ac:dyDescent="0.2">
      <c r="A146" s="10"/>
      <c r="B146" s="10"/>
      <c r="C146" s="193"/>
      <c r="D146" s="194"/>
      <c r="E146" s="10"/>
    </row>
    <row r="147" spans="1:5" ht="12.75" customHeight="1" x14ac:dyDescent="0.2">
      <c r="A147" s="189" t="s">
        <v>206</v>
      </c>
      <c r="B147" s="189" t="str">
        <f>Labels!B67</f>
        <v>Fixed Investment</v>
      </c>
      <c r="C147" s="190" t="s">
        <v>819</v>
      </c>
      <c r="D147" s="191" t="s">
        <v>1150</v>
      </c>
      <c r="E147" s="192" t="s">
        <v>1012</v>
      </c>
    </row>
    <row r="148" spans="1:5" ht="12.75" customHeight="1" x14ac:dyDescent="0.2">
      <c r="A148" s="189"/>
      <c r="B148" s="189"/>
      <c r="C148" s="190" t="s">
        <v>173</v>
      </c>
      <c r="D148" s="191" t="s">
        <v>1150</v>
      </c>
      <c r="E148" s="192" t="s">
        <v>1012</v>
      </c>
    </row>
    <row r="149" spans="1:5" ht="12.75" customHeight="1" x14ac:dyDescent="0.2">
      <c r="A149" s="10"/>
      <c r="B149" s="10"/>
      <c r="C149" s="193"/>
      <c r="D149" s="194"/>
      <c r="E149" s="10"/>
    </row>
    <row r="150" spans="1:5" ht="12.75" customHeight="1" x14ac:dyDescent="0.2">
      <c r="A150" s="189" t="s">
        <v>1349</v>
      </c>
      <c r="B150" s="189" t="str">
        <f>Labels!B68</f>
        <v>Net Fixed Invest</v>
      </c>
      <c r="C150" s="190" t="s">
        <v>888</v>
      </c>
      <c r="D150" s="191" t="s">
        <v>1150</v>
      </c>
      <c r="E150" s="192" t="s">
        <v>344</v>
      </c>
    </row>
    <row r="151" spans="1:5" ht="12.75" customHeight="1" x14ac:dyDescent="0.2">
      <c r="A151" s="10"/>
      <c r="B151" s="10"/>
      <c r="C151" s="193"/>
      <c r="D151" s="194"/>
      <c r="E151" s="10"/>
    </row>
    <row r="152" spans="1:5" ht="12.75" customHeight="1" x14ac:dyDescent="0.2">
      <c r="A152" s="189" t="s">
        <v>1456</v>
      </c>
      <c r="B152" s="189" t="str">
        <f>Labels!B69</f>
        <v>Residual Value</v>
      </c>
      <c r="C152" s="190" t="s">
        <v>819</v>
      </c>
      <c r="D152" s="191" t="s">
        <v>1150</v>
      </c>
      <c r="E152" s="192" t="s">
        <v>910</v>
      </c>
    </row>
    <row r="153" spans="1:5" ht="12.75" customHeight="1" x14ac:dyDescent="0.2">
      <c r="A153" s="189"/>
      <c r="B153" s="189"/>
      <c r="C153" s="190" t="s">
        <v>173</v>
      </c>
      <c r="D153" s="191" t="s">
        <v>1150</v>
      </c>
      <c r="E153" s="192" t="s">
        <v>1012</v>
      </c>
    </row>
    <row r="154" spans="1:5" ht="12.75" customHeight="1" x14ac:dyDescent="0.2">
      <c r="A154" s="10"/>
      <c r="B154" s="10"/>
      <c r="C154" s="193"/>
      <c r="D154" s="194"/>
      <c r="E154" s="10"/>
    </row>
    <row r="155" spans="1:5" ht="12.75" customHeight="1" x14ac:dyDescent="0.2">
      <c r="A155" s="189" t="s">
        <v>1374</v>
      </c>
      <c r="B155" s="189" t="str">
        <f>Labels!B70</f>
        <v>Gross Investment</v>
      </c>
      <c r="C155" s="190" t="s">
        <v>540</v>
      </c>
      <c r="D155" s="191" t="s">
        <v>1150</v>
      </c>
      <c r="E155" s="192" t="s">
        <v>1135</v>
      </c>
    </row>
    <row r="156" spans="1:5" ht="12.75" customHeight="1" x14ac:dyDescent="0.2">
      <c r="A156" s="10"/>
      <c r="B156" s="10"/>
      <c r="C156" s="193"/>
      <c r="D156" s="194"/>
      <c r="E156" s="10"/>
    </row>
    <row r="157" spans="1:5" ht="12.75" customHeight="1" x14ac:dyDescent="0.2">
      <c r="A157" s="189" t="s">
        <v>1117</v>
      </c>
      <c r="B157" s="189" t="str">
        <f>Labels!B71</f>
        <v>Invest Depr Life (periods)</v>
      </c>
      <c r="C157" s="190" t="s">
        <v>888</v>
      </c>
      <c r="D157" s="191" t="s">
        <v>1150</v>
      </c>
      <c r="E157" s="192" t="s">
        <v>809</v>
      </c>
    </row>
    <row r="158" spans="1:5" ht="12.75" customHeight="1" x14ac:dyDescent="0.2">
      <c r="A158" s="10"/>
      <c r="B158" s="10"/>
      <c r="C158" s="193"/>
      <c r="D158" s="194"/>
      <c r="E158" s="10"/>
    </row>
    <row r="159" spans="1:5" ht="12.75" customHeight="1" x14ac:dyDescent="0.2">
      <c r="A159" s="189" t="s">
        <v>368</v>
      </c>
      <c r="B159" s="189" t="str">
        <f>Labels!B72</f>
        <v>Deprec Life (Yr)</v>
      </c>
      <c r="C159" s="190"/>
      <c r="D159" s="191"/>
      <c r="E159" s="192"/>
    </row>
    <row r="160" spans="1:5" ht="12.75" customHeight="1" x14ac:dyDescent="0.2">
      <c r="A160" s="10"/>
      <c r="B160" s="10"/>
      <c r="C160" s="193"/>
      <c r="D160" s="194"/>
      <c r="E160" s="10"/>
    </row>
    <row r="161" spans="1:5" ht="12.75" customHeight="1" x14ac:dyDescent="0.2">
      <c r="A161" s="189" t="s">
        <v>1364</v>
      </c>
      <c r="B161" s="189" t="str">
        <f>Labels!B73</f>
        <v>Physical Life (periods)</v>
      </c>
      <c r="C161" s="190" t="s">
        <v>888</v>
      </c>
      <c r="D161" s="191" t="s">
        <v>1150</v>
      </c>
      <c r="E161" s="192" t="s">
        <v>1393</v>
      </c>
    </row>
    <row r="162" spans="1:5" ht="12.75" customHeight="1" x14ac:dyDescent="0.2">
      <c r="A162" s="10"/>
      <c r="B162" s="10"/>
      <c r="C162" s="193"/>
      <c r="D162" s="194"/>
      <c r="E162" s="10"/>
    </row>
    <row r="163" spans="1:5" ht="12.75" customHeight="1" x14ac:dyDescent="0.2">
      <c r="A163" s="189" t="s">
        <v>247</v>
      </c>
      <c r="B163" s="189" t="str">
        <f>Labels!B74</f>
        <v>Physical Life (Yr)</v>
      </c>
      <c r="C163" s="190"/>
      <c r="D163" s="191"/>
      <c r="E163" s="192"/>
    </row>
    <row r="164" spans="1:5" ht="12.75" customHeight="1" x14ac:dyDescent="0.2">
      <c r="A164" s="10"/>
      <c r="B164" s="10"/>
      <c r="C164" s="193"/>
      <c r="D164" s="194"/>
      <c r="E164" s="10"/>
    </row>
    <row r="165" spans="1:5" ht="12.75" customHeight="1" x14ac:dyDescent="0.2">
      <c r="A165" s="189" t="s">
        <v>1604</v>
      </c>
      <c r="B165" s="189" t="str">
        <f>Labels!B75</f>
        <v>Name</v>
      </c>
      <c r="C165" s="190" t="s">
        <v>692</v>
      </c>
      <c r="D165" s="191" t="s">
        <v>1150</v>
      </c>
      <c r="E165" s="192" t="s">
        <v>1609</v>
      </c>
    </row>
    <row r="166" spans="1:5" ht="12.75" customHeight="1" x14ac:dyDescent="0.2">
      <c r="A166" s="189"/>
      <c r="B166" s="189"/>
      <c r="C166" s="190"/>
      <c r="D166" s="191" t="s">
        <v>212</v>
      </c>
      <c r="E166" s="192" t="s">
        <v>396</v>
      </c>
    </row>
    <row r="167" spans="1:5" ht="12.75" customHeight="1" x14ac:dyDescent="0.2">
      <c r="A167" s="10"/>
      <c r="B167" s="10"/>
      <c r="C167" s="193"/>
      <c r="D167" s="194"/>
      <c r="E167" s="10"/>
    </row>
    <row r="168" spans="1:5" ht="12.75" customHeight="1" x14ac:dyDescent="0.2">
      <c r="A168" s="189" t="s">
        <v>106</v>
      </c>
      <c r="B168" s="189" t="str">
        <f>Labels!B76</f>
        <v>Invest Tax Credit</v>
      </c>
      <c r="C168" s="190" t="s">
        <v>888</v>
      </c>
      <c r="D168" s="191" t="s">
        <v>1150</v>
      </c>
      <c r="E168" s="192" t="s">
        <v>670</v>
      </c>
    </row>
    <row r="169" spans="1:5" ht="12.75" customHeight="1" x14ac:dyDescent="0.2">
      <c r="A169" s="10"/>
      <c r="B169" s="10"/>
      <c r="C169" s="193"/>
      <c r="D169" s="194"/>
      <c r="E169" s="10"/>
    </row>
    <row r="170" spans="1:5" ht="12.75" customHeight="1" x14ac:dyDescent="0.2">
      <c r="A170" s="189" t="s">
        <v>945</v>
      </c>
      <c r="B170" s="189" t="str">
        <f>Labels!B77</f>
        <v>Tax Credit Date</v>
      </c>
      <c r="C170" s="190" t="s">
        <v>888</v>
      </c>
      <c r="D170" s="191" t="s">
        <v>1150</v>
      </c>
      <c r="E170" s="192" t="s">
        <v>1016</v>
      </c>
    </row>
    <row r="171" spans="1:5" ht="12.75" customHeight="1" x14ac:dyDescent="0.2">
      <c r="A171" s="10"/>
      <c r="B171" s="10"/>
      <c r="C171" s="193"/>
      <c r="D171" s="194"/>
      <c r="E171" s="10"/>
    </row>
    <row r="172" spans="1:5" ht="12.75" customHeight="1" x14ac:dyDescent="0.2">
      <c r="A172" s="189" t="s">
        <v>575</v>
      </c>
      <c r="B172" s="189" t="str">
        <f>Labels!B78</f>
        <v>Investment Tax Credit</v>
      </c>
      <c r="C172" s="190" t="s">
        <v>888</v>
      </c>
      <c r="D172" s="191" t="s">
        <v>1150</v>
      </c>
      <c r="E172" s="192" t="s">
        <v>719</v>
      </c>
    </row>
    <row r="173" spans="1:5" ht="12.75" customHeight="1" x14ac:dyDescent="0.2">
      <c r="A173" s="10"/>
      <c r="B173" s="10"/>
      <c r="C173" s="193"/>
      <c r="D173" s="194"/>
      <c r="E173" s="10"/>
    </row>
    <row r="174" spans="1:5" ht="12.75" customHeight="1" x14ac:dyDescent="0.2">
      <c r="A174" s="189" t="s">
        <v>112</v>
      </c>
      <c r="B174" s="189" t="str">
        <f>Labels!B79</f>
        <v>Invest Tax Credit %</v>
      </c>
      <c r="C174" s="190" t="s">
        <v>888</v>
      </c>
      <c r="D174" s="191" t="s">
        <v>1150</v>
      </c>
      <c r="E174" s="192" t="s">
        <v>433</v>
      </c>
    </row>
    <row r="175" spans="1:5" ht="12.75" customHeight="1" x14ac:dyDescent="0.2">
      <c r="A175" s="10"/>
      <c r="B175" s="10"/>
      <c r="C175" s="193"/>
      <c r="D175" s="194"/>
      <c r="E175" s="10"/>
    </row>
    <row r="176" spans="1:5" ht="12.75" customHeight="1" x14ac:dyDescent="0.2">
      <c r="A176" s="189" t="s">
        <v>1281</v>
      </c>
      <c r="B176" s="189" t="str">
        <f>Labels!B80</f>
        <v>Invest Time (periods)</v>
      </c>
      <c r="C176" s="190" t="s">
        <v>888</v>
      </c>
      <c r="D176" s="191" t="s">
        <v>1150</v>
      </c>
      <c r="E176" s="192" t="s">
        <v>1580</v>
      </c>
    </row>
    <row r="177" spans="1:5" ht="12.75" customHeight="1" x14ac:dyDescent="0.2">
      <c r="A177" s="189"/>
      <c r="B177" s="189"/>
      <c r="C177" s="190"/>
      <c r="D177" s="191" t="s">
        <v>212</v>
      </c>
      <c r="E177" s="192" t="s">
        <v>1038</v>
      </c>
    </row>
    <row r="178" spans="1:5" ht="12.75" customHeight="1" x14ac:dyDescent="0.2">
      <c r="A178" s="10"/>
      <c r="B178" s="10"/>
      <c r="C178" s="193"/>
      <c r="D178" s="194"/>
      <c r="E178" s="10"/>
    </row>
    <row r="179" spans="1:5" ht="12.75" customHeight="1" x14ac:dyDescent="0.2">
      <c r="A179" s="189" t="s">
        <v>208</v>
      </c>
      <c r="B179" s="189" t="str">
        <f>Labels!B81</f>
        <v>Invest Time (periods)</v>
      </c>
      <c r="C179" s="190" t="s">
        <v>888</v>
      </c>
      <c r="D179" s="191" t="s">
        <v>1150</v>
      </c>
      <c r="E179" s="192" t="s">
        <v>376</v>
      </c>
    </row>
    <row r="180" spans="1:5" ht="12.75" customHeight="1" x14ac:dyDescent="0.2">
      <c r="A180" s="189"/>
      <c r="B180" s="189"/>
      <c r="C180" s="190"/>
      <c r="D180" s="191" t="s">
        <v>212</v>
      </c>
      <c r="E180" s="192" t="s">
        <v>1382</v>
      </c>
    </row>
    <row r="181" spans="1:5" ht="12.75" customHeight="1" x14ac:dyDescent="0.2">
      <c r="A181" s="10"/>
      <c r="B181" s="10"/>
      <c r="C181" s="193"/>
      <c r="D181" s="194"/>
      <c r="E181" s="10"/>
    </row>
    <row r="182" spans="1:5" ht="12.75" customHeight="1" x14ac:dyDescent="0.2">
      <c r="A182" s="189" t="s">
        <v>1517</v>
      </c>
      <c r="B182" s="189" t="str">
        <f>Labels!B82</f>
        <v>IRR Initial Guess (Yr)</v>
      </c>
      <c r="C182" s="190" t="s">
        <v>540</v>
      </c>
      <c r="D182" s="191" t="s">
        <v>1150</v>
      </c>
      <c r="E182" s="192" t="s">
        <v>433</v>
      </c>
    </row>
    <row r="183" spans="1:5" ht="12.75" customHeight="1" x14ac:dyDescent="0.2">
      <c r="A183" s="10"/>
      <c r="B183" s="10"/>
      <c r="C183" s="193"/>
      <c r="D183" s="194"/>
      <c r="E183" s="10"/>
    </row>
    <row r="184" spans="1:5" ht="12.75" customHeight="1" x14ac:dyDescent="0.2">
      <c r="A184" s="189" t="s">
        <v>419</v>
      </c>
      <c r="B184" s="189" t="str">
        <f>Labels!B83</f>
        <v>IRR Initial Guess (Yr)</v>
      </c>
      <c r="C184" s="190" t="s">
        <v>540</v>
      </c>
      <c r="D184" s="191" t="s">
        <v>1150</v>
      </c>
      <c r="E184" s="192" t="s">
        <v>433</v>
      </c>
    </row>
    <row r="185" spans="1:5" ht="12.75" customHeight="1" x14ac:dyDescent="0.2">
      <c r="A185" s="10"/>
      <c r="B185" s="10"/>
      <c r="C185" s="193"/>
      <c r="D185" s="194"/>
      <c r="E185" s="10"/>
    </row>
    <row r="186" spans="1:5" ht="12.75" customHeight="1" x14ac:dyDescent="0.2">
      <c r="A186" s="189" t="s">
        <v>260</v>
      </c>
      <c r="B186" s="189" t="str">
        <f>Labels!B84</f>
        <v>IRR (Yr)</v>
      </c>
      <c r="C186" s="190" t="s">
        <v>540</v>
      </c>
      <c r="D186" s="191" t="s">
        <v>212</v>
      </c>
      <c r="E186" s="192" t="s">
        <v>775</v>
      </c>
    </row>
    <row r="187" spans="1:5" ht="12.75" customHeight="1" x14ac:dyDescent="0.2">
      <c r="A187" s="10"/>
      <c r="B187" s="10"/>
      <c r="C187" s="193"/>
      <c r="D187" s="194"/>
      <c r="E187" s="10"/>
    </row>
    <row r="188" spans="1:5" ht="12.75" customHeight="1" x14ac:dyDescent="0.2">
      <c r="A188" s="189" t="s">
        <v>1184</v>
      </c>
      <c r="B188" s="189" t="str">
        <f>Labels!B85</f>
        <v>IRR (Yr)</v>
      </c>
      <c r="C188" s="190" t="s">
        <v>540</v>
      </c>
      <c r="D188" s="191" t="s">
        <v>212</v>
      </c>
      <c r="E188" s="192" t="s">
        <v>1118</v>
      </c>
    </row>
    <row r="189" spans="1:5" ht="12.75" customHeight="1" x14ac:dyDescent="0.2">
      <c r="A189" s="10"/>
      <c r="B189" s="10"/>
      <c r="C189" s="193"/>
      <c r="D189" s="194"/>
      <c r="E189" s="10"/>
    </row>
    <row r="190" spans="1:5" ht="12.75" customHeight="1" x14ac:dyDescent="0.2">
      <c r="A190" s="189" t="s">
        <v>837</v>
      </c>
      <c r="B190" s="189" t="str">
        <f>Labels!B86</f>
        <v>Lease Balloon Payment</v>
      </c>
      <c r="C190" s="190"/>
      <c r="D190" s="191"/>
      <c r="E190" s="192"/>
    </row>
    <row r="191" spans="1:5" ht="12.75" customHeight="1" x14ac:dyDescent="0.2">
      <c r="A191" s="10"/>
      <c r="B191" s="10"/>
      <c r="C191" s="193"/>
      <c r="D191" s="194"/>
      <c r="E191" s="10"/>
    </row>
    <row r="192" spans="1:5" ht="12.75" customHeight="1" x14ac:dyDescent="0.2">
      <c r="A192" s="189" t="s">
        <v>1139</v>
      </c>
      <c r="B192" s="189" t="str">
        <f>Labels!B87</f>
        <v>Lease Payments</v>
      </c>
      <c r="C192" s="190" t="s">
        <v>888</v>
      </c>
      <c r="D192" s="191" t="s">
        <v>1150</v>
      </c>
      <c r="E192" s="192" t="s">
        <v>989</v>
      </c>
    </row>
    <row r="193" spans="1:5" ht="12.75" customHeight="1" x14ac:dyDescent="0.2">
      <c r="A193" s="10"/>
      <c r="B193" s="10"/>
      <c r="C193" s="193"/>
      <c r="D193" s="194"/>
      <c r="E193" s="10"/>
    </row>
    <row r="194" spans="1:5" ht="12.75" customHeight="1" x14ac:dyDescent="0.2">
      <c r="A194" s="189" t="s">
        <v>1266</v>
      </c>
      <c r="B194" s="189" t="str">
        <f>Labels!B88</f>
        <v>Leasing Rate</v>
      </c>
      <c r="C194" s="190" t="s">
        <v>99</v>
      </c>
      <c r="D194" s="191" t="s">
        <v>1150</v>
      </c>
      <c r="E194" s="192" t="s">
        <v>328</v>
      </c>
    </row>
    <row r="195" spans="1:5" ht="12.75" customHeight="1" x14ac:dyDescent="0.2">
      <c r="A195" s="10"/>
      <c r="B195" s="10"/>
      <c r="C195" s="193"/>
      <c r="D195" s="194"/>
      <c r="E195" s="10"/>
    </row>
    <row r="196" spans="1:5" ht="12.75" customHeight="1" x14ac:dyDescent="0.2">
      <c r="A196" s="189" t="s">
        <v>418</v>
      </c>
      <c r="B196" s="189" t="str">
        <f>Labels!B89</f>
        <v>Leasing Rate (Yr)</v>
      </c>
      <c r="C196" s="190" t="s">
        <v>888</v>
      </c>
      <c r="D196" s="191" t="s">
        <v>1150</v>
      </c>
      <c r="E196" s="192" t="s">
        <v>1304</v>
      </c>
    </row>
    <row r="197" spans="1:5" ht="12.75" customHeight="1" x14ac:dyDescent="0.2">
      <c r="A197" s="10"/>
      <c r="B197" s="10"/>
      <c r="C197" s="193"/>
      <c r="D197" s="194"/>
      <c r="E197" s="10"/>
    </row>
    <row r="198" spans="1:5" ht="12.75" customHeight="1" x14ac:dyDescent="0.2">
      <c r="A198" s="189" t="s">
        <v>849</v>
      </c>
      <c r="B198" s="189" t="str">
        <f>Labels!B90</f>
        <v>Net Income</v>
      </c>
      <c r="C198" s="190" t="s">
        <v>540</v>
      </c>
      <c r="D198" s="191" t="s">
        <v>1150</v>
      </c>
      <c r="E198" s="192" t="s">
        <v>514</v>
      </c>
    </row>
    <row r="199" spans="1:5" ht="12.75" customHeight="1" x14ac:dyDescent="0.2">
      <c r="A199" s="10"/>
      <c r="B199" s="10"/>
      <c r="C199" s="193"/>
      <c r="D199" s="194"/>
      <c r="E199" s="10"/>
    </row>
    <row r="200" spans="1:5" ht="12.75" customHeight="1" x14ac:dyDescent="0.2">
      <c r="A200" s="189" t="s">
        <v>1559</v>
      </c>
      <c r="B200" s="189" t="str">
        <f>Labels!B91</f>
        <v>Net income</v>
      </c>
      <c r="C200" s="190" t="s">
        <v>540</v>
      </c>
      <c r="D200" s="191" t="s">
        <v>1150</v>
      </c>
      <c r="E200" s="192" t="s">
        <v>849</v>
      </c>
    </row>
    <row r="201" spans="1:5" ht="12.75" customHeight="1" x14ac:dyDescent="0.2">
      <c r="A201" s="10"/>
      <c r="B201" s="10"/>
      <c r="C201" s="193"/>
      <c r="D201" s="194"/>
      <c r="E201" s="10"/>
    </row>
    <row r="202" spans="1:5" ht="12.75" customHeight="1" x14ac:dyDescent="0.2">
      <c r="A202" s="189" t="s">
        <v>1055</v>
      </c>
      <c r="B202" s="189" t="str">
        <f>Labels!B92</f>
        <v>NPV</v>
      </c>
      <c r="C202" s="190" t="s">
        <v>189</v>
      </c>
      <c r="D202" s="191" t="s">
        <v>1150</v>
      </c>
      <c r="E202" s="192" t="s">
        <v>1530</v>
      </c>
    </row>
    <row r="203" spans="1:5" ht="12.75" customHeight="1" x14ac:dyDescent="0.2">
      <c r="A203" s="10"/>
      <c r="B203" s="10"/>
      <c r="C203" s="193"/>
      <c r="D203" s="194"/>
      <c r="E203" s="10"/>
    </row>
    <row r="204" spans="1:5" ht="12.75" customHeight="1" x14ac:dyDescent="0.2">
      <c r="A204" s="189" t="s">
        <v>1305</v>
      </c>
      <c r="B204" s="189" t="str">
        <f>Labels!B93</f>
        <v>NPV Equity Financing</v>
      </c>
      <c r="C204" s="190" t="s">
        <v>337</v>
      </c>
      <c r="D204" s="191" t="s">
        <v>1150</v>
      </c>
      <c r="E204" s="192" t="s">
        <v>293</v>
      </c>
    </row>
    <row r="205" spans="1:5" ht="12.75" customHeight="1" x14ac:dyDescent="0.2">
      <c r="A205" s="10"/>
      <c r="B205" s="10"/>
      <c r="C205" s="193"/>
      <c r="D205" s="194"/>
      <c r="E205" s="10"/>
    </row>
    <row r="206" spans="1:5" ht="12.75" customHeight="1" x14ac:dyDescent="0.2">
      <c r="A206" s="189" t="s">
        <v>1251</v>
      </c>
      <c r="B206" s="189" t="str">
        <f>Labels!B94</f>
        <v>Average Price</v>
      </c>
      <c r="C206" s="190" t="s">
        <v>1591</v>
      </c>
      <c r="D206" s="191" t="s">
        <v>1150</v>
      </c>
      <c r="E206" s="192" t="s">
        <v>1158</v>
      </c>
    </row>
    <row r="207" spans="1:5" ht="12.75" customHeight="1" x14ac:dyDescent="0.2">
      <c r="A207" s="189"/>
      <c r="B207" s="189"/>
      <c r="C207" s="190"/>
      <c r="D207" s="191" t="s">
        <v>212</v>
      </c>
      <c r="E207" s="192" t="s">
        <v>387</v>
      </c>
    </row>
    <row r="208" spans="1:5" ht="12.75" customHeight="1" x14ac:dyDescent="0.2">
      <c r="A208" s="10"/>
      <c r="B208" s="10"/>
      <c r="C208" s="193"/>
      <c r="D208" s="194"/>
      <c r="E208" s="10"/>
    </row>
    <row r="209" spans="1:5" ht="12.75" customHeight="1" x14ac:dyDescent="0.2">
      <c r="A209" s="189" t="s">
        <v>1309</v>
      </c>
      <c r="B209" s="189" t="str">
        <f>Labels!B95</f>
        <v>Project Name</v>
      </c>
      <c r="C209" s="190"/>
      <c r="D209" s="191"/>
      <c r="E209" s="192"/>
    </row>
    <row r="210" spans="1:5" ht="12.75" customHeight="1" x14ac:dyDescent="0.2">
      <c r="A210" s="10"/>
      <c r="B210" s="10"/>
      <c r="C210" s="193"/>
      <c r="D210" s="194"/>
      <c r="E210" s="10"/>
    </row>
    <row r="211" spans="1:5" ht="12.75" customHeight="1" x14ac:dyDescent="0.2">
      <c r="A211" s="189" t="s">
        <v>881</v>
      </c>
      <c r="B211" s="189" t="str">
        <f>Labels!B96</f>
        <v>Avg ROC (Yr)</v>
      </c>
      <c r="C211" s="190" t="s">
        <v>540</v>
      </c>
      <c r="D211" s="191" t="s">
        <v>212</v>
      </c>
      <c r="E211" s="192" t="s">
        <v>96</v>
      </c>
    </row>
    <row r="212" spans="1:5" ht="12.75" customHeight="1" x14ac:dyDescent="0.2">
      <c r="A212" s="10"/>
      <c r="B212" s="10"/>
      <c r="C212" s="193"/>
      <c r="D212" s="194"/>
      <c r="E212" s="10"/>
    </row>
    <row r="213" spans="1:5" ht="12.75" customHeight="1" x14ac:dyDescent="0.2">
      <c r="A213" s="189" t="s">
        <v>1320</v>
      </c>
      <c r="B213" s="189" t="str">
        <f>Labels!B97</f>
        <v>Return on Sales %</v>
      </c>
      <c r="C213" s="190" t="s">
        <v>540</v>
      </c>
      <c r="D213" s="191" t="s">
        <v>212</v>
      </c>
      <c r="E213" s="192" t="s">
        <v>379</v>
      </c>
    </row>
    <row r="214" spans="1:5" ht="12.75" customHeight="1" x14ac:dyDescent="0.2">
      <c r="A214" s="10"/>
      <c r="B214" s="10"/>
      <c r="C214" s="193"/>
      <c r="D214" s="194"/>
      <c r="E214" s="10"/>
    </row>
    <row r="215" spans="1:5" ht="12.75" customHeight="1" x14ac:dyDescent="0.2">
      <c r="A215" s="189" t="s">
        <v>223</v>
      </c>
      <c r="B215" s="189" t="str">
        <f>Labels!B98</f>
        <v>Revenue</v>
      </c>
      <c r="C215" s="190" t="s">
        <v>1591</v>
      </c>
      <c r="D215" s="191" t="s">
        <v>1150</v>
      </c>
      <c r="E215" s="192" t="s">
        <v>314</v>
      </c>
    </row>
    <row r="216" spans="1:5" ht="12.75" customHeight="1" x14ac:dyDescent="0.2">
      <c r="A216" s="10"/>
      <c r="B216" s="10"/>
      <c r="C216" s="193"/>
      <c r="D216" s="194"/>
      <c r="E216" s="10"/>
    </row>
    <row r="217" spans="1:5" ht="12.75" customHeight="1" x14ac:dyDescent="0.2">
      <c r="A217" s="189" t="s">
        <v>322</v>
      </c>
      <c r="B217" s="189" t="str">
        <f>Labels!B99</f>
        <v>Revenue Annualized Growth</v>
      </c>
      <c r="C217" s="190" t="s">
        <v>1591</v>
      </c>
      <c r="D217" s="191" t="s">
        <v>212</v>
      </c>
      <c r="E217" s="192" t="s">
        <v>993</v>
      </c>
    </row>
    <row r="218" spans="1:5" ht="12.75" customHeight="1" x14ac:dyDescent="0.2">
      <c r="A218" s="10"/>
      <c r="B218" s="10"/>
      <c r="C218" s="193"/>
      <c r="D218" s="194"/>
      <c r="E218" s="10"/>
    </row>
    <row r="219" spans="1:5" ht="12.75" customHeight="1" x14ac:dyDescent="0.2">
      <c r="A219" s="189" t="s">
        <v>336</v>
      </c>
      <c r="B219" s="189" t="str">
        <f>Labels!B100</f>
        <v>Market Risk Premium</v>
      </c>
      <c r="C219" s="190" t="s">
        <v>960</v>
      </c>
      <c r="D219" s="191" t="s">
        <v>212</v>
      </c>
      <c r="E219" s="192" t="s">
        <v>331</v>
      </c>
    </row>
    <row r="220" spans="1:5" ht="12.75" customHeight="1" x14ac:dyDescent="0.2">
      <c r="A220" s="10"/>
      <c r="B220" s="10"/>
      <c r="C220" s="193"/>
      <c r="D220" s="194"/>
      <c r="E220" s="10"/>
    </row>
    <row r="221" spans="1:5" ht="12.75" customHeight="1" x14ac:dyDescent="0.2">
      <c r="A221" s="189" t="s">
        <v>202</v>
      </c>
      <c r="B221" s="189" t="str">
        <f>Labels!B101</f>
        <v>Market Risk Premium (Yr)</v>
      </c>
      <c r="C221" s="190" t="s">
        <v>960</v>
      </c>
      <c r="D221" s="191" t="s">
        <v>212</v>
      </c>
      <c r="E221" s="192" t="s">
        <v>1525</v>
      </c>
    </row>
    <row r="222" spans="1:5" ht="12.75" customHeight="1" x14ac:dyDescent="0.2">
      <c r="A222" s="10"/>
      <c r="B222" s="10"/>
      <c r="C222" s="193"/>
      <c r="D222" s="194"/>
      <c r="E222" s="10"/>
    </row>
    <row r="223" spans="1:5" ht="12.75" customHeight="1" x14ac:dyDescent="0.2">
      <c r="A223" s="189" t="s">
        <v>516</v>
      </c>
      <c r="B223" s="189" t="str">
        <f>Labels!B102</f>
        <v>Riskless Discount Rate</v>
      </c>
      <c r="C223" s="190" t="s">
        <v>960</v>
      </c>
      <c r="D223" s="191" t="s">
        <v>1150</v>
      </c>
      <c r="E223" s="192" t="s">
        <v>594</v>
      </c>
    </row>
    <row r="224" spans="1:5" ht="12.75" customHeight="1" x14ac:dyDescent="0.2">
      <c r="A224" s="10"/>
      <c r="B224" s="10"/>
      <c r="C224" s="193"/>
      <c r="D224" s="194"/>
      <c r="E224" s="10"/>
    </row>
    <row r="225" spans="1:5" ht="12.75" customHeight="1" x14ac:dyDescent="0.2">
      <c r="A225" s="189" t="s">
        <v>80</v>
      </c>
      <c r="B225" s="189" t="str">
        <f>Labels!B103</f>
        <v>Riskless Discount Rate (Yr)</v>
      </c>
      <c r="C225" s="190" t="s">
        <v>960</v>
      </c>
      <c r="D225" s="191" t="s">
        <v>1150</v>
      </c>
      <c r="E225" s="192" t="s">
        <v>1600</v>
      </c>
    </row>
    <row r="226" spans="1:5" ht="12.75" customHeight="1" x14ac:dyDescent="0.2">
      <c r="A226" s="10"/>
      <c r="B226" s="10"/>
      <c r="C226" s="193"/>
      <c r="D226" s="194"/>
      <c r="E226" s="10"/>
    </row>
    <row r="227" spans="1:5" ht="12.75" customHeight="1" x14ac:dyDescent="0.2">
      <c r="A227" s="189" t="s">
        <v>757</v>
      </c>
      <c r="B227" s="189" t="str">
        <f>Labels!B104</f>
        <v>Sales Units</v>
      </c>
      <c r="C227" s="190" t="s">
        <v>1591</v>
      </c>
      <c r="D227" s="191" t="s">
        <v>1150</v>
      </c>
      <c r="E227" s="192" t="s">
        <v>577</v>
      </c>
    </row>
    <row r="228" spans="1:5" ht="12.75" customHeight="1" x14ac:dyDescent="0.2">
      <c r="A228" s="10"/>
      <c r="B228" s="10"/>
      <c r="C228" s="193"/>
      <c r="D228" s="194"/>
      <c r="E228" s="10"/>
    </row>
    <row r="229" spans="1:5" ht="12.75" customHeight="1" x14ac:dyDescent="0.2">
      <c r="A229" s="189" t="s">
        <v>284</v>
      </c>
      <c r="B229" s="189" t="str">
        <f>Labels!B105</f>
        <v>Sales Units Growth %</v>
      </c>
      <c r="C229" s="190" t="s">
        <v>1591</v>
      </c>
      <c r="D229" s="191" t="s">
        <v>212</v>
      </c>
      <c r="E229" s="192" t="s">
        <v>256</v>
      </c>
    </row>
    <row r="230" spans="1:5" ht="12.75" customHeight="1" x14ac:dyDescent="0.2">
      <c r="A230" s="10"/>
      <c r="B230" s="10"/>
      <c r="C230" s="193"/>
      <c r="D230" s="194"/>
      <c r="E230" s="10"/>
    </row>
    <row r="231" spans="1:5" ht="12.75" customHeight="1" x14ac:dyDescent="0.2">
      <c r="A231" s="189" t="s">
        <v>1269</v>
      </c>
      <c r="B231" s="189" t="str">
        <f>Labels!B106</f>
        <v>Sales Units Annualized Growth</v>
      </c>
      <c r="C231" s="190" t="s">
        <v>1591</v>
      </c>
      <c r="D231" s="191" t="s">
        <v>1150</v>
      </c>
      <c r="E231" s="192" t="s">
        <v>1158</v>
      </c>
    </row>
    <row r="232" spans="1:5" ht="12.75" customHeight="1" x14ac:dyDescent="0.2">
      <c r="A232" s="10"/>
      <c r="B232" s="10"/>
      <c r="C232" s="193"/>
      <c r="D232" s="194"/>
      <c r="E232" s="10"/>
    </row>
    <row r="233" spans="1:5" ht="12.75" customHeight="1" x14ac:dyDescent="0.2">
      <c r="A233" s="189" t="s">
        <v>1134</v>
      </c>
      <c r="B233" s="189" t="str">
        <f>Labels!B107</f>
        <v>Initial Sales Units</v>
      </c>
      <c r="C233" s="190" t="s">
        <v>1591</v>
      </c>
      <c r="D233" s="191" t="s">
        <v>1150</v>
      </c>
      <c r="E233" s="192" t="s">
        <v>1012</v>
      </c>
    </row>
    <row r="234" spans="1:5" ht="12.75" customHeight="1" x14ac:dyDescent="0.2">
      <c r="A234" s="10"/>
      <c r="B234" s="10"/>
      <c r="C234" s="193"/>
      <c r="D234" s="194"/>
      <c r="E234" s="10"/>
    </row>
    <row r="235" spans="1:5" ht="12.75" customHeight="1" x14ac:dyDescent="0.2">
      <c r="A235" s="189" t="s">
        <v>440</v>
      </c>
      <c r="B235" s="189" t="str">
        <f>Labels!B108</f>
        <v>Tail Discount Rate</v>
      </c>
      <c r="C235" s="190" t="s">
        <v>960</v>
      </c>
      <c r="D235" s="191" t="s">
        <v>1150</v>
      </c>
      <c r="E235" s="192" t="s">
        <v>955</v>
      </c>
    </row>
    <row r="236" spans="1:5" ht="12.75" customHeight="1" x14ac:dyDescent="0.2">
      <c r="A236" s="10"/>
      <c r="B236" s="10"/>
      <c r="C236" s="193"/>
      <c r="D236" s="194"/>
      <c r="E236" s="10"/>
    </row>
    <row r="237" spans="1:5" ht="12.75" customHeight="1" x14ac:dyDescent="0.2">
      <c r="A237" s="189" t="s">
        <v>651</v>
      </c>
      <c r="B237" s="189" t="str">
        <f>Labels!B109</f>
        <v>Tail Discount Rate (Yr)</v>
      </c>
      <c r="C237" s="190"/>
      <c r="D237" s="191"/>
      <c r="E237" s="192"/>
    </row>
    <row r="238" spans="1:5" ht="12.75" customHeight="1" x14ac:dyDescent="0.2">
      <c r="A238" s="10"/>
      <c r="B238" s="10"/>
      <c r="C238" s="193"/>
      <c r="D238" s="194"/>
      <c r="E238" s="10"/>
    </row>
    <row r="239" spans="1:5" ht="12.75" customHeight="1" x14ac:dyDescent="0.2">
      <c r="A239" s="189" t="s">
        <v>1147</v>
      </c>
      <c r="B239" s="189" t="str">
        <f>Labels!B110</f>
        <v>Tail Future Value</v>
      </c>
      <c r="C239" s="190" t="s">
        <v>540</v>
      </c>
      <c r="D239" s="191" t="s">
        <v>1150</v>
      </c>
      <c r="E239" s="192" t="s">
        <v>858</v>
      </c>
    </row>
    <row r="240" spans="1:5" ht="12.75" customHeight="1" x14ac:dyDescent="0.2">
      <c r="A240" s="10"/>
      <c r="B240" s="10"/>
      <c r="C240" s="193"/>
      <c r="D240" s="194"/>
      <c r="E240" s="10"/>
    </row>
    <row r="241" spans="1:5" ht="12.75" customHeight="1" x14ac:dyDescent="0.2">
      <c r="A241" s="189" t="s">
        <v>1379</v>
      </c>
      <c r="B241" s="189" t="str">
        <f>Labels!B111</f>
        <v>Tail Future Value</v>
      </c>
      <c r="C241" s="190" t="s">
        <v>540</v>
      </c>
      <c r="D241" s="191" t="s">
        <v>1150</v>
      </c>
      <c r="E241" s="192" t="s">
        <v>911</v>
      </c>
    </row>
    <row r="242" spans="1:5" ht="12.75" customHeight="1" x14ac:dyDescent="0.2">
      <c r="A242" s="10"/>
      <c r="B242" s="10"/>
      <c r="C242" s="193"/>
      <c r="D242" s="194"/>
      <c r="E242" s="10"/>
    </row>
    <row r="243" spans="1:5" ht="12.75" customHeight="1" x14ac:dyDescent="0.2">
      <c r="A243" s="189" t="s">
        <v>89</v>
      </c>
      <c r="B243" s="189" t="str">
        <f>Labels!B112</f>
        <v>Tail Early FV Factor</v>
      </c>
      <c r="C243" s="190" t="s">
        <v>540</v>
      </c>
      <c r="D243" s="191" t="s">
        <v>1150</v>
      </c>
      <c r="E243" s="192" t="s">
        <v>307</v>
      </c>
    </row>
    <row r="244" spans="1:5" ht="12.75" customHeight="1" x14ac:dyDescent="0.2">
      <c r="A244" s="10"/>
      <c r="B244" s="10"/>
      <c r="C244" s="193"/>
      <c r="D244" s="194"/>
      <c r="E244" s="10"/>
    </row>
    <row r="245" spans="1:5" ht="12.75" customHeight="1" x14ac:dyDescent="0.2">
      <c r="A245" s="189" t="s">
        <v>1506</v>
      </c>
      <c r="B245" s="189" t="str">
        <f>Labels!B113</f>
        <v>Tail Late FV Factor</v>
      </c>
      <c r="C245" s="190" t="s">
        <v>540</v>
      </c>
      <c r="D245" s="191" t="s">
        <v>1150</v>
      </c>
      <c r="E245" s="192" t="s">
        <v>1265</v>
      </c>
    </row>
    <row r="246" spans="1:5" ht="12.75" customHeight="1" x14ac:dyDescent="0.2">
      <c r="A246" s="10"/>
      <c r="B246" s="10"/>
      <c r="C246" s="193"/>
      <c r="D246" s="194"/>
      <c r="E246" s="10"/>
    </row>
    <row r="247" spans="1:5" ht="12.75" customHeight="1" x14ac:dyDescent="0.2">
      <c r="A247" s="189" t="s">
        <v>1565</v>
      </c>
      <c r="B247" s="189" t="str">
        <f>Labels!B114</f>
        <v>Tail Early Growth Rate</v>
      </c>
      <c r="C247" s="190" t="s">
        <v>540</v>
      </c>
      <c r="D247" s="191" t="s">
        <v>212</v>
      </c>
      <c r="E247" s="192" t="s">
        <v>1009</v>
      </c>
    </row>
    <row r="248" spans="1:5" ht="12.75" customHeight="1" x14ac:dyDescent="0.2">
      <c r="A248" s="10"/>
      <c r="B248" s="10"/>
      <c r="C248" s="193"/>
      <c r="D248" s="194"/>
      <c r="E248" s="10"/>
    </row>
    <row r="249" spans="1:5" ht="12.75" customHeight="1" x14ac:dyDescent="0.2">
      <c r="A249" s="189" t="s">
        <v>749</v>
      </c>
      <c r="B249" s="189" t="str">
        <f>Labels!B115</f>
        <v>Early Growth % (Yr)</v>
      </c>
      <c r="C249" s="190"/>
      <c r="D249" s="191"/>
      <c r="E249" s="192"/>
    </row>
    <row r="250" spans="1:5" ht="12.75" customHeight="1" x14ac:dyDescent="0.2">
      <c r="A250" s="10"/>
      <c r="B250" s="10"/>
      <c r="C250" s="193"/>
      <c r="D250" s="194"/>
      <c r="E250" s="10"/>
    </row>
    <row r="251" spans="1:5" ht="12.75" customHeight="1" x14ac:dyDescent="0.2">
      <c r="A251" s="189" t="s">
        <v>47</v>
      </c>
      <c r="B251" s="189" t="str">
        <f>Labels!B116</f>
        <v>Tail Late Growth Rate</v>
      </c>
      <c r="C251" s="190" t="s">
        <v>540</v>
      </c>
      <c r="D251" s="191" t="s">
        <v>212</v>
      </c>
      <c r="E251" s="192" t="s">
        <v>1339</v>
      </c>
    </row>
    <row r="252" spans="1:5" ht="12.75" customHeight="1" x14ac:dyDescent="0.2">
      <c r="A252" s="10"/>
      <c r="B252" s="10"/>
      <c r="C252" s="193"/>
      <c r="D252" s="194"/>
      <c r="E252" s="10"/>
    </row>
    <row r="253" spans="1:5" ht="12.75" customHeight="1" x14ac:dyDescent="0.2">
      <c r="A253" s="189" t="s">
        <v>1057</v>
      </c>
      <c r="B253" s="189" t="str">
        <f>Labels!B117</f>
        <v>Late Growth % (Yr)</v>
      </c>
      <c r="C253" s="190"/>
      <c r="D253" s="191"/>
      <c r="E253" s="192"/>
    </row>
    <row r="254" spans="1:5" ht="12.75" customHeight="1" x14ac:dyDescent="0.2">
      <c r="A254" s="10"/>
      <c r="B254" s="10"/>
      <c r="C254" s="193"/>
      <c r="D254" s="194"/>
      <c r="E254" s="10"/>
    </row>
    <row r="255" spans="1:5" ht="12.75" customHeight="1" x14ac:dyDescent="0.2">
      <c r="A255" s="189" t="s">
        <v>709</v>
      </c>
      <c r="B255" s="189" t="str">
        <f>Labels!B118</f>
        <v>Tail NPV</v>
      </c>
      <c r="C255" s="190" t="s">
        <v>540</v>
      </c>
      <c r="D255" s="191" t="s">
        <v>1150</v>
      </c>
      <c r="E255" s="192" t="s">
        <v>68</v>
      </c>
    </row>
    <row r="256" spans="1:5" ht="12.75" customHeight="1" x14ac:dyDescent="0.2">
      <c r="A256" s="10"/>
      <c r="B256" s="10"/>
      <c r="C256" s="193"/>
      <c r="D256" s="194"/>
      <c r="E256" s="10"/>
    </row>
    <row r="257" spans="1:5" ht="12.75" customHeight="1" x14ac:dyDescent="0.2">
      <c r="A257" s="189" t="s">
        <v>1494</v>
      </c>
      <c r="B257" s="189" t="str">
        <f>Labels!B119</f>
        <v>Tail NPV</v>
      </c>
      <c r="C257" s="190" t="s">
        <v>540</v>
      </c>
      <c r="D257" s="191" t="s">
        <v>1150</v>
      </c>
      <c r="E257" s="192" t="s">
        <v>532</v>
      </c>
    </row>
    <row r="258" spans="1:5" ht="12.75" customHeight="1" x14ac:dyDescent="0.2">
      <c r="A258" s="10"/>
      <c r="B258" s="10"/>
      <c r="C258" s="193"/>
      <c r="D258" s="194"/>
      <c r="E258" s="10"/>
    </row>
    <row r="259" spans="1:5" ht="12.75" customHeight="1" x14ac:dyDescent="0.2">
      <c r="A259" s="189" t="s">
        <v>1262</v>
      </c>
      <c r="B259" s="189" t="str">
        <f>Labels!B120</f>
        <v>Tail Early Time (Yr)</v>
      </c>
      <c r="C259" s="190"/>
      <c r="D259" s="191"/>
      <c r="E259" s="192"/>
    </row>
    <row r="260" spans="1:5" ht="12.75" customHeight="1" x14ac:dyDescent="0.2">
      <c r="A260" s="10"/>
      <c r="B260" s="10"/>
      <c r="C260" s="193"/>
      <c r="D260" s="194"/>
      <c r="E260" s="10"/>
    </row>
    <row r="261" spans="1:5" ht="12.75" customHeight="1" x14ac:dyDescent="0.2">
      <c r="A261" s="189" t="s">
        <v>158</v>
      </c>
      <c r="B261" s="189" t="str">
        <f>Labels!B121</f>
        <v>Long Time (period)</v>
      </c>
      <c r="C261" s="190" t="s">
        <v>960</v>
      </c>
      <c r="D261" s="191" t="s">
        <v>1150</v>
      </c>
      <c r="E261" s="192" t="s">
        <v>1453</v>
      </c>
    </row>
    <row r="262" spans="1:5" ht="12.75" customHeight="1" x14ac:dyDescent="0.2">
      <c r="A262" s="10"/>
      <c r="B262" s="10"/>
      <c r="C262" s="193"/>
      <c r="D262" s="194"/>
      <c r="E262" s="10"/>
    </row>
    <row r="263" spans="1:5" ht="12.75" customHeight="1" x14ac:dyDescent="0.2">
      <c r="A263" s="189" t="s">
        <v>1524</v>
      </c>
      <c r="B263" s="189" t="str">
        <f>Labels!B122</f>
        <v>Time (Yr)</v>
      </c>
      <c r="C263" s="190" t="s">
        <v>960</v>
      </c>
      <c r="D263" s="191" t="s">
        <v>1150</v>
      </c>
      <c r="E263" s="192" t="s">
        <v>1031</v>
      </c>
    </row>
    <row r="264" spans="1:5" ht="12.75" customHeight="1" x14ac:dyDescent="0.2">
      <c r="A264" s="10"/>
      <c r="B264" s="10"/>
      <c r="C264" s="193"/>
      <c r="D264" s="194"/>
      <c r="E264" s="10"/>
    </row>
    <row r="265" spans="1:5" ht="12.75" customHeight="1" x14ac:dyDescent="0.2">
      <c r="A265" s="189" t="s">
        <v>584</v>
      </c>
      <c r="B265" s="189" t="str">
        <f>Labels!B123</f>
        <v>Valuation</v>
      </c>
      <c r="C265" s="190" t="s">
        <v>540</v>
      </c>
      <c r="D265" s="191" t="s">
        <v>1150</v>
      </c>
      <c r="E265" s="192" t="s">
        <v>367</v>
      </c>
    </row>
    <row r="266" spans="1:5" ht="12.75" customHeight="1" x14ac:dyDescent="0.2">
      <c r="A266" s="10"/>
      <c r="B266" s="10"/>
      <c r="C266" s="193"/>
      <c r="D266" s="194"/>
      <c r="E266" s="10"/>
    </row>
    <row r="267" spans="1:5" ht="12.75" customHeight="1" x14ac:dyDescent="0.2">
      <c r="A267" s="189" t="s">
        <v>366</v>
      </c>
      <c r="B267" s="189" t="str">
        <f>Labels!B124</f>
        <v>Valuation</v>
      </c>
      <c r="C267" s="190" t="s">
        <v>540</v>
      </c>
      <c r="D267" s="191" t="s">
        <v>1150</v>
      </c>
      <c r="E267" s="192" t="s">
        <v>401</v>
      </c>
    </row>
    <row r="268" spans="1:5" ht="12.75" customHeight="1" x14ac:dyDescent="0.2">
      <c r="A268" s="10"/>
      <c r="B268" s="10"/>
      <c r="C268" s="193"/>
      <c r="D268" s="194"/>
      <c r="E268" s="10"/>
    </row>
    <row r="269" spans="1:5" ht="12.75" customHeight="1" x14ac:dyDescent="0.2">
      <c r="A269" s="189" t="s">
        <v>1484</v>
      </c>
      <c r="B269" s="189" t="str">
        <f>Labels!B125</f>
        <v>Valuation</v>
      </c>
      <c r="C269" s="190" t="s">
        <v>540</v>
      </c>
      <c r="D269" s="191" t="s">
        <v>1150</v>
      </c>
      <c r="E269" s="192" t="s">
        <v>584</v>
      </c>
    </row>
    <row r="270" spans="1:5" ht="12.75" customHeight="1" x14ac:dyDescent="0.2">
      <c r="A270" s="10"/>
      <c r="B270" s="10"/>
      <c r="C270" s="193"/>
      <c r="D270" s="194"/>
      <c r="E270" s="10"/>
    </row>
    <row r="271" spans="1:5" ht="12.75" customHeight="1" x14ac:dyDescent="0.2">
      <c r="A271" s="189" t="s">
        <v>994</v>
      </c>
      <c r="B271" s="189" t="str">
        <f>Labels!B126</f>
        <v>Working Capital Amort</v>
      </c>
      <c r="C271" s="190" t="s">
        <v>888</v>
      </c>
      <c r="D271" s="191" t="s">
        <v>1150</v>
      </c>
      <c r="E271" s="192" t="s">
        <v>1522</v>
      </c>
    </row>
    <row r="272" spans="1:5" ht="12.75" customHeight="1" x14ac:dyDescent="0.2">
      <c r="A272" s="10"/>
      <c r="B272" s="10"/>
      <c r="C272" s="193"/>
      <c r="D272" s="194"/>
      <c r="E272" s="10"/>
    </row>
    <row r="273" spans="1:5" ht="12.75" customHeight="1" x14ac:dyDescent="0.2">
      <c r="A273" s="189" t="s">
        <v>1046</v>
      </c>
      <c r="B273" s="189" t="str">
        <f>Labels!B127</f>
        <v>Initial Working Cap</v>
      </c>
      <c r="C273" s="190"/>
      <c r="D273" s="191"/>
      <c r="E273" s="192"/>
    </row>
    <row r="274" spans="1:5" ht="12.75" customHeight="1" x14ac:dyDescent="0.2">
      <c r="A274" s="10"/>
      <c r="B274" s="10"/>
      <c r="C274" s="193"/>
      <c r="D274" s="194"/>
      <c r="E274" s="10"/>
    </row>
    <row r="275" spans="1:5" ht="12.75" customHeight="1" x14ac:dyDescent="0.2">
      <c r="A275" s="189" t="s">
        <v>598</v>
      </c>
      <c r="B275" s="189" t="str">
        <f>Labels!B128</f>
        <v>Max Working Capital</v>
      </c>
      <c r="C275" s="190" t="s">
        <v>1569</v>
      </c>
      <c r="D275" s="191" t="s">
        <v>212</v>
      </c>
      <c r="E275" s="192" t="s">
        <v>1326</v>
      </c>
    </row>
    <row r="276" spans="1:5" ht="12.75" customHeight="1" x14ac:dyDescent="0.2">
      <c r="A276" s="10"/>
      <c r="B276" s="10"/>
      <c r="C276" s="193"/>
      <c r="D276" s="194"/>
      <c r="E276" s="10"/>
    </row>
    <row r="277" spans="1:5" ht="12.75" customHeight="1" x14ac:dyDescent="0.2">
      <c r="A277" s="189" t="s">
        <v>641</v>
      </c>
      <c r="B277" s="189" t="str">
        <f>Labels!B129</f>
        <v>Working Capital % Rev</v>
      </c>
      <c r="C277" s="190" t="s">
        <v>1569</v>
      </c>
      <c r="D277" s="191" t="s">
        <v>1150</v>
      </c>
      <c r="E277" s="192" t="s">
        <v>1012</v>
      </c>
    </row>
    <row r="278" spans="1:5" ht="12.75" customHeight="1" x14ac:dyDescent="0.2">
      <c r="A278" s="10"/>
      <c r="B278" s="10"/>
      <c r="C278" s="193"/>
      <c r="D278" s="194"/>
      <c r="E278" s="10"/>
    </row>
    <row r="279" spans="1:5" ht="12.75" customHeight="1" x14ac:dyDescent="0.2">
      <c r="A279" s="189" t="s">
        <v>615</v>
      </c>
      <c r="B279" s="189" t="str">
        <f>Labels!B130</f>
        <v>Working Capital Residual %</v>
      </c>
      <c r="C279" s="190" t="s">
        <v>604</v>
      </c>
      <c r="D279" s="191" t="s">
        <v>1150</v>
      </c>
      <c r="E279" s="192" t="s">
        <v>1012</v>
      </c>
    </row>
    <row r="280" spans="1:5" ht="12.75" customHeight="1" x14ac:dyDescent="0.2">
      <c r="A280" s="10"/>
      <c r="B280" s="10"/>
      <c r="C280" s="193"/>
      <c r="D280" s="194"/>
      <c r="E280" s="10"/>
    </row>
    <row r="281" spans="1:5" ht="12.75" customHeight="1" x14ac:dyDescent="0.2">
      <c r="A281" s="189" t="s">
        <v>1579</v>
      </c>
      <c r="B281" s="189" t="str">
        <f>Labels!B131</f>
        <v>Working Capital</v>
      </c>
      <c r="C281" s="190" t="s">
        <v>604</v>
      </c>
      <c r="D281" s="191" t="s">
        <v>1150</v>
      </c>
      <c r="E281" s="192" t="s">
        <v>605</v>
      </c>
    </row>
    <row r="283" spans="1:5" ht="12.75" customHeight="1" x14ac:dyDescent="0.2">
      <c r="A283" t="s">
        <v>841</v>
      </c>
      <c r="B283" t="s">
        <v>841</v>
      </c>
      <c r="C283" t="s">
        <v>841</v>
      </c>
      <c r="D283" t="s">
        <v>841</v>
      </c>
      <c r="E283" t="s">
        <v>841</v>
      </c>
    </row>
  </sheetData>
  <mergeCells count="2">
    <mergeCell ref="A1:D1"/>
    <mergeCell ref="A2:D2"/>
  </mergeCells>
  <pageMargins left="0.25" right="0.25" top="0.5" bottom="0.5" header="0.5" footer="0.5"/>
  <pageSetup paperSize="9" fitToHeight="32767" orientation="landscape"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54"/>
  <sheetViews>
    <sheetView zoomScaleNormal="100" workbookViewId="0"/>
  </sheetViews>
  <sheetFormatPr defaultRowHeight="12.75" customHeight="1" x14ac:dyDescent="0.2"/>
  <cols>
    <col min="1" max="1" width="16.7109375" customWidth="1"/>
    <col min="2" max="2" width="18.28515625" customWidth="1"/>
    <col min="3" max="13" width="16" customWidth="1"/>
  </cols>
  <sheetData>
    <row r="1" spans="1:13" ht="12.75" customHeight="1" x14ac:dyDescent="0.2">
      <c r="A1" s="270" t="str">
        <f>Inputs!E7</f>
        <v>ModelSheet Software</v>
      </c>
      <c r="B1" s="270"/>
      <c r="C1" s="270"/>
      <c r="D1" s="270"/>
      <c r="E1" s="270"/>
      <c r="F1" s="270"/>
      <c r="G1" s="270"/>
      <c r="H1" s="270"/>
      <c r="I1" s="270"/>
      <c r="J1" s="270"/>
      <c r="K1" s="270"/>
      <c r="L1" s="270"/>
    </row>
    <row r="2" spans="1:13" ht="12.75" customHeight="1" x14ac:dyDescent="0.2">
      <c r="A2" s="270" t="str">
        <f>Inputs!E9</f>
        <v>Project Test</v>
      </c>
      <c r="B2" s="270"/>
      <c r="C2" s="270"/>
      <c r="D2" s="270"/>
      <c r="E2" s="270"/>
      <c r="F2" s="270"/>
      <c r="G2" s="270"/>
      <c r="H2" s="270"/>
      <c r="I2" s="270"/>
      <c r="J2" s="270"/>
      <c r="K2" s="270"/>
      <c r="L2" s="270"/>
    </row>
    <row r="3" spans="1:13" ht="12.75" customHeight="1" x14ac:dyDescent="0.2">
      <c r="A3" s="270" t="str">
        <f>"This hidden sheet contains variables for use in plots. They never have collapsed group (which prevents plotting)."</f>
        <v>This hidden sheet contains variables for use in plots. They never have collapsed group (which prevents plotting).</v>
      </c>
      <c r="B3" s="270"/>
      <c r="C3" s="270"/>
      <c r="D3" s="270"/>
      <c r="E3" s="270"/>
      <c r="F3" s="270"/>
      <c r="G3" s="270"/>
      <c r="H3" s="270"/>
      <c r="I3" s="270"/>
      <c r="J3" s="270"/>
      <c r="K3" s="270"/>
      <c r="L3" s="270"/>
    </row>
    <row r="4" spans="1:13" ht="12.75" customHeight="1" x14ac:dyDescent="0.2">
      <c r="B4" s="17" t="str">
        <f>'(FnCalls 1)'!G6</f>
        <v>Q4 2010</v>
      </c>
      <c r="C4" s="62" t="str">
        <f>'(FnCalls 1)'!H4</f>
        <v>2010</v>
      </c>
      <c r="D4" s="18" t="str">
        <f>'(FnCalls 1)'!G7</f>
        <v>Q1 2011</v>
      </c>
      <c r="E4" s="18" t="str">
        <f>'(FnCalls 1)'!G8</f>
        <v>Q2 2011</v>
      </c>
      <c r="F4" s="18" t="str">
        <f>'(FnCalls 1)'!G9</f>
        <v>Q3 2011</v>
      </c>
      <c r="G4" s="18" t="str">
        <f>'(FnCalls 1)'!G10</f>
        <v>Q4 2011</v>
      </c>
      <c r="H4" s="62" t="str">
        <f>'(FnCalls 1)'!H7</f>
        <v>2011</v>
      </c>
      <c r="I4" s="18" t="str">
        <f>'(FnCalls 1)'!G11</f>
        <v>Q1 2012</v>
      </c>
      <c r="J4" s="18" t="str">
        <f>'(FnCalls 1)'!G12</f>
        <v>Q2 2012</v>
      </c>
      <c r="K4" s="18" t="str">
        <f>'(FnCalls 1)'!G13</f>
        <v>Q3 2012</v>
      </c>
      <c r="L4" s="18" t="str">
        <f>'(FnCalls 1)'!G14</f>
        <v>Q4 2012</v>
      </c>
      <c r="M4" s="62" t="str">
        <f>'(FnCalls 1)'!H11</f>
        <v>2012</v>
      </c>
    </row>
    <row r="5" spans="1:13" ht="12.75" customHeight="1" x14ac:dyDescent="0.2">
      <c r="A5" s="111" t="str">
        <f>Labels!B8</f>
        <v>Book Value (End)</v>
      </c>
      <c r="B5" s="195"/>
      <c r="C5" s="196"/>
      <c r="D5" s="195"/>
      <c r="E5" s="195"/>
      <c r="F5" s="195"/>
      <c r="G5" s="195"/>
      <c r="H5" s="196"/>
      <c r="I5" s="195"/>
      <c r="J5" s="195"/>
      <c r="K5" s="195"/>
      <c r="L5" s="195"/>
      <c r="M5" s="196"/>
    </row>
    <row r="6" spans="1:13" ht="12.75" customHeight="1" x14ac:dyDescent="0.2">
      <c r="A6" s="114" t="str">
        <f>"   "&amp;Labels!B182</f>
        <v xml:space="preserve">   Catamarans</v>
      </c>
      <c r="B6" s="197">
        <f>Investment!B120</f>
        <v>0</v>
      </c>
      <c r="C6" s="198">
        <f>B6</f>
        <v>0</v>
      </c>
      <c r="D6" s="197">
        <f>Investment!D120</f>
        <v>0</v>
      </c>
      <c r="E6" s="197">
        <f>Investment!E120</f>
        <v>0</v>
      </c>
      <c r="F6" s="197">
        <f>Investment!F120</f>
        <v>0</v>
      </c>
      <c r="G6" s="197">
        <f>Investment!G120</f>
        <v>0</v>
      </c>
      <c r="H6" s="198">
        <f>G6</f>
        <v>0</v>
      </c>
      <c r="I6" s="197">
        <f>Investment!I120</f>
        <v>0</v>
      </c>
      <c r="J6" s="197">
        <f>Investment!J120</f>
        <v>0</v>
      </c>
      <c r="K6" s="197">
        <f>Investment!K120</f>
        <v>0</v>
      </c>
      <c r="L6" s="197">
        <f>Investment!L120</f>
        <v>0</v>
      </c>
      <c r="M6" s="198">
        <f>L6</f>
        <v>0</v>
      </c>
    </row>
    <row r="7" spans="1:13" ht="12.75" customHeight="1" x14ac:dyDescent="0.2">
      <c r="A7" s="114" t="str">
        <f>"   "&amp;Labels!B183</f>
        <v xml:space="preserve">   Canoes</v>
      </c>
      <c r="B7" s="197">
        <f>Investment!B123</f>
        <v>0</v>
      </c>
      <c r="C7" s="198">
        <f>B7</f>
        <v>0</v>
      </c>
      <c r="D7" s="197">
        <f>Investment!D123</f>
        <v>0</v>
      </c>
      <c r="E7" s="197">
        <f>Investment!E123</f>
        <v>0</v>
      </c>
      <c r="F7" s="197">
        <f>Investment!F123</f>
        <v>0</v>
      </c>
      <c r="G7" s="197">
        <f>Investment!G123</f>
        <v>0</v>
      </c>
      <c r="H7" s="198">
        <f>G7</f>
        <v>0</v>
      </c>
      <c r="I7" s="197">
        <f>Investment!I123</f>
        <v>0</v>
      </c>
      <c r="J7" s="197">
        <f>Investment!J123</f>
        <v>0</v>
      </c>
      <c r="K7" s="197">
        <f>Investment!K123</f>
        <v>0</v>
      </c>
      <c r="L7" s="197">
        <f>Investment!L123</f>
        <v>0</v>
      </c>
      <c r="M7" s="198">
        <f>L7</f>
        <v>0</v>
      </c>
    </row>
    <row r="8" spans="1:13" ht="12.75" customHeight="1" x14ac:dyDescent="0.2">
      <c r="A8" s="117" t="str">
        <f>"   "&amp;Labels!C181</f>
        <v xml:space="preserve">   Total</v>
      </c>
      <c r="B8" s="199">
        <f>SUM(B6:B7)</f>
        <v>0</v>
      </c>
      <c r="C8" s="198">
        <f>SUM(B6:B7)</f>
        <v>0</v>
      </c>
      <c r="D8" s="199">
        <f>SUM(D6:D7)</f>
        <v>0</v>
      </c>
      <c r="E8" s="199">
        <f>SUM(E6:E7)</f>
        <v>0</v>
      </c>
      <c r="F8" s="199">
        <f>SUM(F6:F7)</f>
        <v>0</v>
      </c>
      <c r="G8" s="199">
        <f>SUM(G6:G7)</f>
        <v>0</v>
      </c>
      <c r="H8" s="198">
        <f>SUM(G6:G7)</f>
        <v>0</v>
      </c>
      <c r="I8" s="199">
        <f>SUM(I6:I7)</f>
        <v>0</v>
      </c>
      <c r="J8" s="199">
        <f>SUM(J6:J7)</f>
        <v>0</v>
      </c>
      <c r="K8" s="199">
        <f>SUM(K6:K7)</f>
        <v>0</v>
      </c>
      <c r="L8" s="199">
        <f>SUM(L6:L7)</f>
        <v>0</v>
      </c>
      <c r="M8" s="198">
        <f>SUM(L6:L7)</f>
        <v>0</v>
      </c>
    </row>
    <row r="9" spans="1:13" ht="12.75" customHeight="1" x14ac:dyDescent="0.2">
      <c r="A9" s="12"/>
      <c r="B9" s="10"/>
      <c r="C9" s="12"/>
      <c r="D9" s="10"/>
      <c r="E9" s="10"/>
      <c r="F9" s="10"/>
      <c r="G9" s="10"/>
      <c r="H9" s="12"/>
      <c r="I9" s="10"/>
      <c r="J9" s="10"/>
      <c r="K9" s="10"/>
      <c r="L9" s="10"/>
      <c r="M9" s="12"/>
    </row>
    <row r="10" spans="1:13" ht="12.75" customHeight="1" x14ac:dyDescent="0.2">
      <c r="A10" s="117" t="str">
        <f>Labels!B20</f>
        <v>Cash Flow</v>
      </c>
      <c r="B10" s="199"/>
      <c r="C10" s="198"/>
      <c r="D10" s="199"/>
      <c r="E10" s="199"/>
      <c r="F10" s="199"/>
      <c r="G10" s="199"/>
      <c r="H10" s="198"/>
      <c r="I10" s="199"/>
      <c r="J10" s="199"/>
      <c r="K10" s="199"/>
      <c r="L10" s="199"/>
      <c r="M10" s="198"/>
    </row>
    <row r="11" spans="1:13" ht="12.75" customHeight="1" x14ac:dyDescent="0.2">
      <c r="A11" s="114" t="str">
        <f>"   "&amp;Labels!B182</f>
        <v xml:space="preserve">   Catamarans</v>
      </c>
      <c r="B11" s="197">
        <f>'Blended Fin'!B9</f>
        <v>0</v>
      </c>
      <c r="C11" s="198">
        <f>B11</f>
        <v>0</v>
      </c>
      <c r="D11" s="197">
        <f>'Blended Fin'!D9</f>
        <v>0</v>
      </c>
      <c r="E11" s="197">
        <f>'Blended Fin'!E9</f>
        <v>0</v>
      </c>
      <c r="F11" s="197">
        <f>'Blended Fin'!F9</f>
        <v>0</v>
      </c>
      <c r="G11" s="197">
        <f>'Blended Fin'!G9</f>
        <v>0</v>
      </c>
      <c r="H11" s="198">
        <f>SUM(D11:G11)</f>
        <v>0</v>
      </c>
      <c r="I11" s="197">
        <f>'Blended Fin'!I9</f>
        <v>0</v>
      </c>
      <c r="J11" s="197">
        <f>'Blended Fin'!J9</f>
        <v>0</v>
      </c>
      <c r="K11" s="197">
        <f>'Blended Fin'!K9</f>
        <v>0</v>
      </c>
      <c r="L11" s="197">
        <f>'Blended Fin'!L9</f>
        <v>0</v>
      </c>
      <c r="M11" s="198">
        <f>SUM(I11:L11)</f>
        <v>0</v>
      </c>
    </row>
    <row r="12" spans="1:13" ht="12.75" customHeight="1" x14ac:dyDescent="0.2">
      <c r="A12" s="114" t="str">
        <f>"   "&amp;Labels!B183</f>
        <v xml:space="preserve">   Canoes</v>
      </c>
      <c r="B12" s="197">
        <f>'Blended Fin'!B10</f>
        <v>0</v>
      </c>
      <c r="C12" s="198">
        <f>B12</f>
        <v>0</v>
      </c>
      <c r="D12" s="197">
        <f>'Blended Fin'!D10</f>
        <v>0</v>
      </c>
      <c r="E12" s="197">
        <f>'Blended Fin'!E10</f>
        <v>0</v>
      </c>
      <c r="F12" s="197">
        <f>'Blended Fin'!F10</f>
        <v>0</v>
      </c>
      <c r="G12" s="197">
        <f>'Blended Fin'!G10</f>
        <v>0</v>
      </c>
      <c r="H12" s="198">
        <f>SUM(D12:G12)</f>
        <v>0</v>
      </c>
      <c r="I12" s="197">
        <f>'Blended Fin'!I10</f>
        <v>0</v>
      </c>
      <c r="J12" s="197">
        <f>'Blended Fin'!J10</f>
        <v>0</v>
      </c>
      <c r="K12" s="197">
        <f>'Blended Fin'!K10</f>
        <v>0</v>
      </c>
      <c r="L12" s="197">
        <f>'Blended Fin'!L10</f>
        <v>0</v>
      </c>
      <c r="M12" s="198">
        <f>SUM(I12:L12)</f>
        <v>0</v>
      </c>
    </row>
    <row r="13" spans="1:13" ht="12.75" customHeight="1" x14ac:dyDescent="0.2">
      <c r="A13" s="117" t="str">
        <f>"   "&amp;Labels!C181</f>
        <v xml:space="preserve">   Total</v>
      </c>
      <c r="B13" s="199">
        <f>SUM(B11:B12)</f>
        <v>0</v>
      </c>
      <c r="C13" s="198">
        <f>SUM(B11:B12)</f>
        <v>0</v>
      </c>
      <c r="D13" s="199">
        <f>SUM(D11:D12)</f>
        <v>0</v>
      </c>
      <c r="E13" s="199">
        <f>SUM(E11:E12)</f>
        <v>0</v>
      </c>
      <c r="F13" s="199">
        <f>SUM(F11:F12)</f>
        <v>0</v>
      </c>
      <c r="G13" s="199">
        <f>SUM(G11:G12)</f>
        <v>0</v>
      </c>
      <c r="H13" s="198">
        <f>SUM(D13:G13)</f>
        <v>0</v>
      </c>
      <c r="I13" s="199">
        <f>SUM(I11:I12)</f>
        <v>0</v>
      </c>
      <c r="J13" s="199">
        <f>SUM(J11:J12)</f>
        <v>0</v>
      </c>
      <c r="K13" s="199">
        <f>SUM(K11:K12)</f>
        <v>0</v>
      </c>
      <c r="L13" s="199">
        <f>SUM(L11:L12)</f>
        <v>0</v>
      </c>
      <c r="M13" s="198">
        <f>SUM(I13:L13)</f>
        <v>0</v>
      </c>
    </row>
    <row r="14" spans="1:13" ht="12.75" customHeight="1" x14ac:dyDescent="0.2">
      <c r="A14" s="12"/>
      <c r="B14" s="10"/>
      <c r="C14" s="12"/>
      <c r="D14" s="10"/>
      <c r="E14" s="10"/>
      <c r="F14" s="10"/>
      <c r="G14" s="10"/>
      <c r="H14" s="12"/>
      <c r="I14" s="10"/>
      <c r="J14" s="10"/>
      <c r="K14" s="10"/>
      <c r="L14" s="10"/>
      <c r="M14" s="12"/>
    </row>
    <row r="15" spans="1:13" ht="12.75" customHeight="1" x14ac:dyDescent="0.2">
      <c r="A15" s="117" t="str">
        <f>Labels!B29</f>
        <v>DCF</v>
      </c>
      <c r="B15" s="199"/>
      <c r="C15" s="198"/>
      <c r="D15" s="199"/>
      <c r="E15" s="199"/>
      <c r="F15" s="199"/>
      <c r="G15" s="199"/>
      <c r="H15" s="198"/>
      <c r="I15" s="199"/>
      <c r="J15" s="199"/>
      <c r="K15" s="199"/>
      <c r="L15" s="199"/>
      <c r="M15" s="198"/>
    </row>
    <row r="16" spans="1:13" ht="12.75" customHeight="1" x14ac:dyDescent="0.2">
      <c r="A16" s="114" t="str">
        <f>"   "&amp;Labels!B182</f>
        <v xml:space="preserve">   Catamarans</v>
      </c>
      <c r="B16" s="197">
        <f>'Blended Fin'!B199</f>
        <v>0</v>
      </c>
      <c r="C16" s="198">
        <f>B16</f>
        <v>0</v>
      </c>
      <c r="D16" s="197">
        <f>'Blended Fin'!D199</f>
        <v>0</v>
      </c>
      <c r="E16" s="197">
        <f>'Blended Fin'!E199</f>
        <v>0</v>
      </c>
      <c r="F16" s="197">
        <f>'Blended Fin'!F199</f>
        <v>0</v>
      </c>
      <c r="G16" s="197">
        <f>'Blended Fin'!G199</f>
        <v>0</v>
      </c>
      <c r="H16" s="198">
        <f>SUM(D16:G16)</f>
        <v>0</v>
      </c>
      <c r="I16" s="197">
        <f>'Blended Fin'!I199</f>
        <v>0</v>
      </c>
      <c r="J16" s="197">
        <f>'Blended Fin'!J199</f>
        <v>0</v>
      </c>
      <c r="K16" s="197">
        <f>'Blended Fin'!K199</f>
        <v>0</v>
      </c>
      <c r="L16" s="197">
        <f>'Blended Fin'!L199</f>
        <v>0</v>
      </c>
      <c r="M16" s="198">
        <f>SUM(I16:L16)</f>
        <v>0</v>
      </c>
    </row>
    <row r="17" spans="1:13" ht="12.75" customHeight="1" x14ac:dyDescent="0.2">
      <c r="A17" s="114" t="str">
        <f>"   "&amp;Labels!B183</f>
        <v xml:space="preserve">   Canoes</v>
      </c>
      <c r="B17" s="197">
        <f>'Blended Fin'!B200</f>
        <v>0</v>
      </c>
      <c r="C17" s="198">
        <f>B17</f>
        <v>0</v>
      </c>
      <c r="D17" s="197">
        <f>'Blended Fin'!D200</f>
        <v>0</v>
      </c>
      <c r="E17" s="197">
        <f>'Blended Fin'!E200</f>
        <v>0</v>
      </c>
      <c r="F17" s="197">
        <f>'Blended Fin'!F200</f>
        <v>0</v>
      </c>
      <c r="G17" s="197">
        <f>'Blended Fin'!G200</f>
        <v>0</v>
      </c>
      <c r="H17" s="198">
        <f>SUM(D17:G17)</f>
        <v>0</v>
      </c>
      <c r="I17" s="197">
        <f>'Blended Fin'!I200</f>
        <v>0</v>
      </c>
      <c r="J17" s="197">
        <f>'Blended Fin'!J200</f>
        <v>0</v>
      </c>
      <c r="K17" s="197">
        <f>'Blended Fin'!K200</f>
        <v>0</v>
      </c>
      <c r="L17" s="197">
        <f>'Blended Fin'!L200</f>
        <v>0</v>
      </c>
      <c r="M17" s="198">
        <f>SUM(I17:L17)</f>
        <v>0</v>
      </c>
    </row>
    <row r="18" spans="1:13" ht="12.75" customHeight="1" x14ac:dyDescent="0.2">
      <c r="A18" s="117" t="str">
        <f>"   "&amp;Labels!C181</f>
        <v xml:space="preserve">   Total</v>
      </c>
      <c r="B18" s="199">
        <f>SUM(B16:B17)</f>
        <v>0</v>
      </c>
      <c r="C18" s="198">
        <f>SUM(B16:B17)</f>
        <v>0</v>
      </c>
      <c r="D18" s="199">
        <f>SUM(D16:D17)</f>
        <v>0</v>
      </c>
      <c r="E18" s="199">
        <f>SUM(E16:E17)</f>
        <v>0</v>
      </c>
      <c r="F18" s="199">
        <f>SUM(F16:F17)</f>
        <v>0</v>
      </c>
      <c r="G18" s="199">
        <f>SUM(G16:G17)</f>
        <v>0</v>
      </c>
      <c r="H18" s="198">
        <f>SUM(D18:G18)</f>
        <v>0</v>
      </c>
      <c r="I18" s="199">
        <f>SUM(I16:I17)</f>
        <v>0</v>
      </c>
      <c r="J18" s="199">
        <f>SUM(J16:J17)</f>
        <v>0</v>
      </c>
      <c r="K18" s="199">
        <f>SUM(K16:K17)</f>
        <v>0</v>
      </c>
      <c r="L18" s="199">
        <f>SUM(L16:L17)</f>
        <v>0</v>
      </c>
      <c r="M18" s="198">
        <f>SUM(I18:L18)</f>
        <v>0</v>
      </c>
    </row>
    <row r="19" spans="1:13" ht="12.75" customHeight="1" x14ac:dyDescent="0.2">
      <c r="A19" s="12"/>
      <c r="B19" s="10"/>
      <c r="C19" s="12"/>
      <c r="D19" s="10"/>
      <c r="E19" s="10"/>
      <c r="F19" s="10"/>
      <c r="G19" s="10"/>
      <c r="H19" s="12"/>
      <c r="I19" s="10"/>
      <c r="J19" s="10"/>
      <c r="K19" s="10"/>
      <c r="L19" s="10"/>
      <c r="M19" s="12"/>
    </row>
    <row r="20" spans="1:13" ht="12.75" customHeight="1" x14ac:dyDescent="0.2">
      <c r="A20" s="117" t="str">
        <f>Labels!B27</f>
        <v>Cum DCF</v>
      </c>
      <c r="B20" s="199"/>
      <c r="C20" s="198"/>
      <c r="D20" s="199"/>
      <c r="E20" s="199"/>
      <c r="F20" s="199"/>
      <c r="G20" s="199"/>
      <c r="H20" s="198"/>
      <c r="I20" s="199"/>
      <c r="J20" s="199"/>
      <c r="K20" s="199"/>
      <c r="L20" s="199"/>
      <c r="M20" s="198"/>
    </row>
    <row r="21" spans="1:13" ht="12.75" customHeight="1" x14ac:dyDescent="0.2">
      <c r="A21" s="114" t="str">
        <f>"   "&amp;Labels!B182</f>
        <v xml:space="preserve">   Catamarans</v>
      </c>
      <c r="B21" s="197">
        <f>'(Tables)'!B287</f>
        <v>0</v>
      </c>
      <c r="C21" s="198">
        <f>B21</f>
        <v>0</v>
      </c>
      <c r="D21" s="197">
        <f>'(Tables)'!D287</f>
        <v>0</v>
      </c>
      <c r="E21" s="197">
        <f>'(Tables)'!E287</f>
        <v>0</v>
      </c>
      <c r="F21" s="197">
        <f>'(Tables)'!F287</f>
        <v>0</v>
      </c>
      <c r="G21" s="197">
        <f>'(Tables)'!G287</f>
        <v>0</v>
      </c>
      <c r="H21" s="198">
        <f>G21</f>
        <v>0</v>
      </c>
      <c r="I21" s="197">
        <f>'(Tables)'!I287</f>
        <v>0</v>
      </c>
      <c r="J21" s="197">
        <f>'(Tables)'!J287</f>
        <v>0</v>
      </c>
      <c r="K21" s="197">
        <f>'(Tables)'!K287</f>
        <v>0</v>
      </c>
      <c r="L21" s="197">
        <f>'(Tables)'!L287</f>
        <v>0</v>
      </c>
      <c r="M21" s="198">
        <f>L21</f>
        <v>0</v>
      </c>
    </row>
    <row r="22" spans="1:13" ht="12.75" customHeight="1" x14ac:dyDescent="0.2">
      <c r="A22" s="114" t="str">
        <f>"   "&amp;Labels!B183</f>
        <v xml:space="preserve">   Canoes</v>
      </c>
      <c r="B22" s="197">
        <f>'(Tables)'!B288</f>
        <v>0</v>
      </c>
      <c r="C22" s="198">
        <f>B22</f>
        <v>0</v>
      </c>
      <c r="D22" s="197">
        <f>'(Tables)'!D288</f>
        <v>0</v>
      </c>
      <c r="E22" s="197">
        <f>'(Tables)'!E288</f>
        <v>0</v>
      </c>
      <c r="F22" s="197">
        <f>'(Tables)'!F288</f>
        <v>0</v>
      </c>
      <c r="G22" s="197">
        <f>'(Tables)'!G288</f>
        <v>0</v>
      </c>
      <c r="H22" s="198">
        <f>G22</f>
        <v>0</v>
      </c>
      <c r="I22" s="197">
        <f>'(Tables)'!I288</f>
        <v>0</v>
      </c>
      <c r="J22" s="197">
        <f>'(Tables)'!J288</f>
        <v>0</v>
      </c>
      <c r="K22" s="197">
        <f>'(Tables)'!K288</f>
        <v>0</v>
      </c>
      <c r="L22" s="197">
        <f>'(Tables)'!L288</f>
        <v>0</v>
      </c>
      <c r="M22" s="198">
        <f>L22</f>
        <v>0</v>
      </c>
    </row>
    <row r="23" spans="1:13" ht="12.75" customHeight="1" x14ac:dyDescent="0.2">
      <c r="A23" s="117" t="str">
        <f>"   "&amp;Labels!C181</f>
        <v xml:space="preserve">   Total</v>
      </c>
      <c r="B23" s="199">
        <f>SUM(B21:B22)</f>
        <v>0</v>
      </c>
      <c r="C23" s="198">
        <f>SUM(B21:B22)</f>
        <v>0</v>
      </c>
      <c r="D23" s="199">
        <f>SUM(D21:D22)</f>
        <v>0</v>
      </c>
      <c r="E23" s="199">
        <f>SUM(E21:E22)</f>
        <v>0</v>
      </c>
      <c r="F23" s="199">
        <f>SUM(F21:F22)</f>
        <v>0</v>
      </c>
      <c r="G23" s="199">
        <f>SUM(G21:G22)</f>
        <v>0</v>
      </c>
      <c r="H23" s="198">
        <f>SUM(G21:G22)</f>
        <v>0</v>
      </c>
      <c r="I23" s="199">
        <f>SUM(I21:I22)</f>
        <v>0</v>
      </c>
      <c r="J23" s="199">
        <f>SUM(J21:J22)</f>
        <v>0</v>
      </c>
      <c r="K23" s="199">
        <f>SUM(K21:K22)</f>
        <v>0</v>
      </c>
      <c r="L23" s="199">
        <f>SUM(L21:L22)</f>
        <v>0</v>
      </c>
      <c r="M23" s="198">
        <f>SUM(L21:L22)</f>
        <v>0</v>
      </c>
    </row>
    <row r="24" spans="1:13" ht="12.75" customHeight="1" x14ac:dyDescent="0.2">
      <c r="A24" s="12"/>
      <c r="B24" s="10"/>
      <c r="C24" s="12"/>
      <c r="D24" s="10"/>
      <c r="E24" s="10"/>
      <c r="F24" s="10"/>
      <c r="G24" s="10"/>
      <c r="H24" s="12"/>
      <c r="I24" s="10"/>
      <c r="J24" s="10"/>
      <c r="K24" s="10"/>
      <c r="L24" s="10"/>
      <c r="M24" s="12"/>
    </row>
    <row r="25" spans="1:13" ht="12.75" customHeight="1" x14ac:dyDescent="0.2">
      <c r="A25" s="117" t="str">
        <f>Labels!B48</f>
        <v>EBITDA</v>
      </c>
      <c r="B25" s="199"/>
      <c r="C25" s="198"/>
      <c r="D25" s="199"/>
      <c r="E25" s="199"/>
      <c r="F25" s="199"/>
      <c r="G25" s="199"/>
      <c r="H25" s="198"/>
      <c r="I25" s="199"/>
      <c r="J25" s="199"/>
      <c r="K25" s="199"/>
      <c r="L25" s="199"/>
      <c r="M25" s="198"/>
    </row>
    <row r="26" spans="1:13" ht="12.75" customHeight="1" x14ac:dyDescent="0.2">
      <c r="A26" s="114" t="str">
        <f>"   "&amp;Labels!B182</f>
        <v xml:space="preserve">   Catamarans</v>
      </c>
      <c r="B26" s="197"/>
      <c r="C26" s="198"/>
      <c r="D26" s="197">
        <f>Operations!B46</f>
        <v>0</v>
      </c>
      <c r="E26" s="197">
        <f>Operations!C46</f>
        <v>0</v>
      </c>
      <c r="F26" s="197">
        <f>Operations!D46</f>
        <v>0</v>
      </c>
      <c r="G26" s="197">
        <f>Operations!E46</f>
        <v>0</v>
      </c>
      <c r="H26" s="198">
        <f>SUM(D26:G26)</f>
        <v>0</v>
      </c>
      <c r="I26" s="197">
        <f>Operations!G46</f>
        <v>0</v>
      </c>
      <c r="J26" s="197">
        <f>Operations!H46</f>
        <v>0</v>
      </c>
      <c r="K26" s="197">
        <f>Operations!I46</f>
        <v>0</v>
      </c>
      <c r="L26" s="197">
        <f>Operations!J46</f>
        <v>0</v>
      </c>
      <c r="M26" s="198">
        <f>SUM(I26:L26)</f>
        <v>0</v>
      </c>
    </row>
    <row r="27" spans="1:13" ht="12.75" customHeight="1" x14ac:dyDescent="0.2">
      <c r="A27" s="114" t="str">
        <f>"   "&amp;Labels!B183</f>
        <v xml:space="preserve">   Canoes</v>
      </c>
      <c r="B27" s="197"/>
      <c r="C27" s="198"/>
      <c r="D27" s="197">
        <f>Operations!B47</f>
        <v>0</v>
      </c>
      <c r="E27" s="197">
        <f>Operations!C47</f>
        <v>0</v>
      </c>
      <c r="F27" s="197">
        <f>Operations!D47</f>
        <v>0</v>
      </c>
      <c r="G27" s="197">
        <f>Operations!E47</f>
        <v>0</v>
      </c>
      <c r="H27" s="198">
        <f>SUM(D27:G27)</f>
        <v>0</v>
      </c>
      <c r="I27" s="197">
        <f>Operations!G47</f>
        <v>0</v>
      </c>
      <c r="J27" s="197">
        <f>Operations!H47</f>
        <v>0</v>
      </c>
      <c r="K27" s="197">
        <f>Operations!I47</f>
        <v>0</v>
      </c>
      <c r="L27" s="197">
        <f>Operations!J47</f>
        <v>0</v>
      </c>
      <c r="M27" s="198">
        <f>SUM(I27:L27)</f>
        <v>0</v>
      </c>
    </row>
    <row r="28" spans="1:13" ht="12.75" customHeight="1" x14ac:dyDescent="0.2">
      <c r="A28" s="117" t="str">
        <f>"   "&amp;Labels!C181</f>
        <v xml:space="preserve">   Total</v>
      </c>
      <c r="B28" s="199"/>
      <c r="C28" s="198"/>
      <c r="D28" s="199">
        <f>SUM(D26:D27)</f>
        <v>0</v>
      </c>
      <c r="E28" s="199">
        <f>SUM(E26:E27)</f>
        <v>0</v>
      </c>
      <c r="F28" s="199">
        <f>SUM(F26:F27)</f>
        <v>0</v>
      </c>
      <c r="G28" s="199">
        <f>SUM(G26:G27)</f>
        <v>0</v>
      </c>
      <c r="H28" s="198">
        <f>SUM(D28:G28)</f>
        <v>0</v>
      </c>
      <c r="I28" s="199">
        <f>SUM(I26:I27)</f>
        <v>0</v>
      </c>
      <c r="J28" s="199">
        <f>SUM(J26:J27)</f>
        <v>0</v>
      </c>
      <c r="K28" s="199">
        <f>SUM(K26:K27)</f>
        <v>0</v>
      </c>
      <c r="L28" s="199">
        <f>SUM(L26:L27)</f>
        <v>0</v>
      </c>
      <c r="M28" s="198">
        <f>SUM(I28:L28)</f>
        <v>0</v>
      </c>
    </row>
    <row r="29" spans="1:13" ht="12.75" customHeight="1" x14ac:dyDescent="0.2">
      <c r="A29" s="12"/>
      <c r="B29" s="10"/>
      <c r="C29" s="12"/>
      <c r="D29" s="10"/>
      <c r="E29" s="10"/>
      <c r="F29" s="10"/>
      <c r="G29" s="10"/>
      <c r="H29" s="12"/>
      <c r="I29" s="10"/>
      <c r="J29" s="10"/>
      <c r="K29" s="10"/>
      <c r="L29" s="10"/>
      <c r="M29" s="12"/>
    </row>
    <row r="30" spans="1:13" ht="12.75" customHeight="1" x14ac:dyDescent="0.2">
      <c r="A30" s="117" t="str">
        <f>Labels!B91</f>
        <v>Net income</v>
      </c>
      <c r="B30" s="199"/>
      <c r="C30" s="198"/>
      <c r="D30" s="199"/>
      <c r="E30" s="199"/>
      <c r="F30" s="199"/>
      <c r="G30" s="199"/>
      <c r="H30" s="198"/>
      <c r="I30" s="199"/>
      <c r="J30" s="199"/>
      <c r="K30" s="199"/>
      <c r="L30" s="199"/>
      <c r="M30" s="198"/>
    </row>
    <row r="31" spans="1:13" ht="12.75" customHeight="1" x14ac:dyDescent="0.2">
      <c r="A31" s="114" t="str">
        <f>"   "&amp;Labels!B182</f>
        <v xml:space="preserve">   Catamarans</v>
      </c>
      <c r="B31" s="197"/>
      <c r="C31" s="198"/>
      <c r="D31" s="197">
        <f>Operations!B84</f>
        <v>0</v>
      </c>
      <c r="E31" s="197">
        <f>Operations!C84</f>
        <v>0</v>
      </c>
      <c r="F31" s="197">
        <f>Operations!D84</f>
        <v>0</v>
      </c>
      <c r="G31" s="197">
        <f>Operations!E84</f>
        <v>0</v>
      </c>
      <c r="H31" s="198">
        <f>SUM(D31:G31)</f>
        <v>0</v>
      </c>
      <c r="I31" s="197">
        <f>Operations!G84</f>
        <v>0</v>
      </c>
      <c r="J31" s="197">
        <f>Operations!H84</f>
        <v>0</v>
      </c>
      <c r="K31" s="197">
        <f>Operations!I84</f>
        <v>0</v>
      </c>
      <c r="L31" s="197">
        <f>Operations!J84</f>
        <v>0</v>
      </c>
      <c r="M31" s="198">
        <f>SUM(I31:L31)</f>
        <v>0</v>
      </c>
    </row>
    <row r="32" spans="1:13" ht="12.75" customHeight="1" x14ac:dyDescent="0.2">
      <c r="A32" s="114" t="str">
        <f>"   "&amp;Labels!B183</f>
        <v xml:space="preserve">   Canoes</v>
      </c>
      <c r="B32" s="197"/>
      <c r="C32" s="198"/>
      <c r="D32" s="197">
        <f>Operations!B85</f>
        <v>0</v>
      </c>
      <c r="E32" s="197">
        <f>Operations!C85</f>
        <v>0</v>
      </c>
      <c r="F32" s="197">
        <f>Operations!D85</f>
        <v>0</v>
      </c>
      <c r="G32" s="197">
        <f>Operations!E85</f>
        <v>0</v>
      </c>
      <c r="H32" s="198">
        <f>SUM(D32:G32)</f>
        <v>0</v>
      </c>
      <c r="I32" s="197">
        <f>Operations!G85</f>
        <v>0</v>
      </c>
      <c r="J32" s="197">
        <f>Operations!H85</f>
        <v>0</v>
      </c>
      <c r="K32" s="197">
        <f>Operations!I85</f>
        <v>0</v>
      </c>
      <c r="L32" s="197">
        <f>Operations!J85</f>
        <v>0</v>
      </c>
      <c r="M32" s="198">
        <f>SUM(I32:L32)</f>
        <v>0</v>
      </c>
    </row>
    <row r="33" spans="1:13" ht="12.75" customHeight="1" x14ac:dyDescent="0.2">
      <c r="A33" s="117" t="str">
        <f>"   "&amp;Labels!C181</f>
        <v xml:space="preserve">   Total</v>
      </c>
      <c r="B33" s="199"/>
      <c r="C33" s="198"/>
      <c r="D33" s="199">
        <f>SUM(D31:D32)</f>
        <v>0</v>
      </c>
      <c r="E33" s="199">
        <f>SUM(E31:E32)</f>
        <v>0</v>
      </c>
      <c r="F33" s="199">
        <f>SUM(F31:F32)</f>
        <v>0</v>
      </c>
      <c r="G33" s="199">
        <f>SUM(G31:G32)</f>
        <v>0</v>
      </c>
      <c r="H33" s="198">
        <f>SUM(D33:G33)</f>
        <v>0</v>
      </c>
      <c r="I33" s="199">
        <f>SUM(I31:I32)</f>
        <v>0</v>
      </c>
      <c r="J33" s="199">
        <f>SUM(J31:J32)</f>
        <v>0</v>
      </c>
      <c r="K33" s="199">
        <f>SUM(K31:K32)</f>
        <v>0</v>
      </c>
      <c r="L33" s="199">
        <f>SUM(L31:L32)</f>
        <v>0</v>
      </c>
      <c r="M33" s="198">
        <f>SUM(I33:L33)</f>
        <v>0</v>
      </c>
    </row>
    <row r="34" spans="1:13" ht="12.75" customHeight="1" x14ac:dyDescent="0.2">
      <c r="A34" s="12"/>
      <c r="B34" s="10"/>
      <c r="C34" s="12"/>
      <c r="D34" s="10"/>
      <c r="E34" s="10"/>
      <c r="F34" s="10"/>
      <c r="G34" s="10"/>
      <c r="H34" s="12"/>
      <c r="I34" s="10"/>
      <c r="J34" s="10"/>
      <c r="K34" s="10"/>
      <c r="L34" s="10"/>
      <c r="M34" s="12"/>
    </row>
    <row r="35" spans="1:13" ht="12.75" customHeight="1" x14ac:dyDescent="0.2">
      <c r="A35" s="117" t="str">
        <f>Labels!B125</f>
        <v>Valuation</v>
      </c>
      <c r="B35" s="199"/>
      <c r="C35" s="198"/>
      <c r="D35" s="199"/>
      <c r="E35" s="199"/>
      <c r="F35" s="199"/>
      <c r="G35" s="199"/>
      <c r="H35" s="198"/>
      <c r="I35" s="199"/>
      <c r="J35" s="199"/>
      <c r="K35" s="199"/>
      <c r="L35" s="199"/>
      <c r="M35" s="198"/>
    </row>
    <row r="36" spans="1:13" ht="12.75" customHeight="1" x14ac:dyDescent="0.2">
      <c r="A36" s="114" t="str">
        <f>"   "&amp;Labels!B182</f>
        <v xml:space="preserve">   Catamarans</v>
      </c>
      <c r="B36" s="197">
        <f>'EqF Subproject 1'!B55</f>
        <v>0</v>
      </c>
      <c r="C36" s="198">
        <f>B36</f>
        <v>0</v>
      </c>
      <c r="D36" s="197">
        <f>'EqF Subproject 1'!D55</f>
        <v>0</v>
      </c>
      <c r="E36" s="197">
        <f>'EqF Subproject 1'!E55</f>
        <v>0</v>
      </c>
      <c r="F36" s="197">
        <f>'EqF Subproject 1'!F55</f>
        <v>0</v>
      </c>
      <c r="G36" s="197">
        <f>'EqF Subproject 1'!G55</f>
        <v>0</v>
      </c>
      <c r="H36" s="198">
        <f>G36</f>
        <v>0</v>
      </c>
      <c r="I36" s="197">
        <f>'EqF Subproject 1'!I55</f>
        <v>0</v>
      </c>
      <c r="J36" s="197">
        <f>'EqF Subproject 1'!J55</f>
        <v>0</v>
      </c>
      <c r="K36" s="197">
        <f>'EqF Subproject 1'!K55</f>
        <v>0</v>
      </c>
      <c r="L36" s="197">
        <f>'EqF Subproject 1'!L55</f>
        <v>0</v>
      </c>
      <c r="M36" s="198">
        <f>L36</f>
        <v>0</v>
      </c>
    </row>
    <row r="37" spans="1:13" ht="12.75" customHeight="1" x14ac:dyDescent="0.2">
      <c r="A37" s="114" t="str">
        <f>"   "&amp;Labels!B183</f>
        <v xml:space="preserve">   Canoes</v>
      </c>
      <c r="B37" s="197">
        <f>'EqF Subproject 2'!B55</f>
        <v>0</v>
      </c>
      <c r="C37" s="198">
        <f>B37</f>
        <v>0</v>
      </c>
      <c r="D37" s="197">
        <f>'EqF Subproject 2'!D55</f>
        <v>0</v>
      </c>
      <c r="E37" s="197">
        <f>'EqF Subproject 2'!E55</f>
        <v>0</v>
      </c>
      <c r="F37" s="197">
        <f>'EqF Subproject 2'!F55</f>
        <v>0</v>
      </c>
      <c r="G37" s="197">
        <f>'EqF Subproject 2'!G55</f>
        <v>0</v>
      </c>
      <c r="H37" s="198">
        <f>G37</f>
        <v>0</v>
      </c>
      <c r="I37" s="197">
        <f>'EqF Subproject 2'!I55</f>
        <v>0</v>
      </c>
      <c r="J37" s="197">
        <f>'EqF Subproject 2'!J55</f>
        <v>0</v>
      </c>
      <c r="K37" s="197">
        <f>'EqF Subproject 2'!K55</f>
        <v>0</v>
      </c>
      <c r="L37" s="197">
        <f>'EqF Subproject 2'!L55</f>
        <v>0</v>
      </c>
      <c r="M37" s="198">
        <f>L37</f>
        <v>0</v>
      </c>
    </row>
    <row r="38" spans="1:13" ht="12.75" customHeight="1" x14ac:dyDescent="0.2">
      <c r="A38" s="121" t="str">
        <f>"   "&amp;Labels!C181</f>
        <v xml:space="preserve">   Total</v>
      </c>
      <c r="B38" s="200">
        <f>SUM(B36:B37)</f>
        <v>0</v>
      </c>
      <c r="C38" s="201">
        <f>SUM(B36:B37)</f>
        <v>0</v>
      </c>
      <c r="D38" s="200">
        <f>SUM(D36:D37)</f>
        <v>0</v>
      </c>
      <c r="E38" s="200">
        <f>SUM(E36:E37)</f>
        <v>0</v>
      </c>
      <c r="F38" s="200">
        <f>SUM(F36:F37)</f>
        <v>0</v>
      </c>
      <c r="G38" s="200">
        <f>SUM(G36:G37)</f>
        <v>0</v>
      </c>
      <c r="H38" s="201">
        <f>SUM(G36:G37)</f>
        <v>0</v>
      </c>
      <c r="I38" s="200">
        <f>SUM(I36:I37)</f>
        <v>0</v>
      </c>
      <c r="J38" s="200">
        <f>SUM(J36:J37)</f>
        <v>0</v>
      </c>
      <c r="K38" s="200">
        <f>SUM(K36:K37)</f>
        <v>0</v>
      </c>
      <c r="L38" s="200">
        <f>SUM(L36:L37)</f>
        <v>0</v>
      </c>
      <c r="M38" s="201">
        <f>SUM(L36:L37)</f>
        <v>0</v>
      </c>
    </row>
    <row r="39" spans="1:13" ht="12.75" customHeight="1" x14ac:dyDescent="0.2">
      <c r="B39" s="17" t="str">
        <f>Labels!B121</f>
        <v>Long Time (period)</v>
      </c>
      <c r="C39" s="18" t="str">
        <f>Labels!B24</f>
        <v>Start Date</v>
      </c>
      <c r="D39" s="19" t="str">
        <f>Labels!B23</f>
        <v>End Date</v>
      </c>
    </row>
    <row r="40" spans="1:13" ht="12.75" customHeight="1" x14ac:dyDescent="0.2">
      <c r="A40" s="111" t="str">
        <f>'(FnCalls 1)'!G5</f>
        <v>Q3 2010</v>
      </c>
      <c r="B40" s="135">
        <f>0+1</f>
        <v>1</v>
      </c>
      <c r="C40" s="202">
        <f>'(FnCalls 1)'!A5</f>
        <v>40360</v>
      </c>
      <c r="D40" s="203">
        <f>'(FnCalls 1)'!A6-1</f>
        <v>40451</v>
      </c>
    </row>
    <row r="41" spans="1:13" ht="12.75" customHeight="1" x14ac:dyDescent="0.2">
      <c r="A41" s="117" t="str">
        <f>'(FnCalls 1)'!G6</f>
        <v>Q4 2010</v>
      </c>
      <c r="B41" s="139">
        <f>B40+1</f>
        <v>2</v>
      </c>
      <c r="C41" s="204">
        <f>'(FnCalls 1)'!A6</f>
        <v>40452</v>
      </c>
      <c r="D41" s="205">
        <f>'(FnCalls 1)'!A7-1</f>
        <v>40543</v>
      </c>
    </row>
    <row r="42" spans="1:13" ht="12.75" customHeight="1" x14ac:dyDescent="0.2">
      <c r="A42" s="12" t="str">
        <f>'(FnCalls 1)'!H4</f>
        <v>2010</v>
      </c>
      <c r="B42" s="141">
        <f>B41</f>
        <v>2</v>
      </c>
      <c r="C42" s="206"/>
      <c r="D42" s="207"/>
    </row>
    <row r="43" spans="1:13" ht="12.75" customHeight="1" x14ac:dyDescent="0.2">
      <c r="A43" s="117" t="str">
        <f>'(FnCalls 1)'!G7</f>
        <v>Q1 2011</v>
      </c>
      <c r="B43" s="139">
        <f>B41+1</f>
        <v>3</v>
      </c>
      <c r="C43" s="204">
        <f>'(FnCalls 1)'!A7</f>
        <v>40544</v>
      </c>
      <c r="D43" s="205">
        <f>'(FnCalls 1)'!A8-1</f>
        <v>40633</v>
      </c>
    </row>
    <row r="44" spans="1:13" ht="12.75" customHeight="1" x14ac:dyDescent="0.2">
      <c r="A44" s="117" t="str">
        <f>'(FnCalls 1)'!G8</f>
        <v>Q2 2011</v>
      </c>
      <c r="B44" s="139">
        <f>B43+1</f>
        <v>4</v>
      </c>
      <c r="C44" s="204">
        <f>'(FnCalls 1)'!A8</f>
        <v>40634</v>
      </c>
      <c r="D44" s="205">
        <f>'(FnCalls 1)'!A9-1</f>
        <v>40724</v>
      </c>
    </row>
    <row r="45" spans="1:13" ht="12.75" customHeight="1" x14ac:dyDescent="0.2">
      <c r="A45" s="117" t="str">
        <f>'(FnCalls 1)'!G9</f>
        <v>Q3 2011</v>
      </c>
      <c r="B45" s="139">
        <f>B44+1</f>
        <v>5</v>
      </c>
      <c r="C45" s="204">
        <f>'(FnCalls 1)'!A9</f>
        <v>40725</v>
      </c>
      <c r="D45" s="205">
        <f>'(FnCalls 1)'!A10-1</f>
        <v>40816</v>
      </c>
    </row>
    <row r="46" spans="1:13" ht="12.75" customHeight="1" x14ac:dyDescent="0.2">
      <c r="A46" s="117" t="str">
        <f>'(FnCalls 1)'!G10</f>
        <v>Q4 2011</v>
      </c>
      <c r="B46" s="139">
        <f>B45+1</f>
        <v>6</v>
      </c>
      <c r="C46" s="204">
        <f>'(FnCalls 1)'!A10</f>
        <v>40817</v>
      </c>
      <c r="D46" s="205">
        <f>'(FnCalls 1)'!A11-1</f>
        <v>40908</v>
      </c>
    </row>
    <row r="47" spans="1:13" ht="12.75" customHeight="1" x14ac:dyDescent="0.2">
      <c r="A47" s="12" t="str">
        <f>'(FnCalls 1)'!H7</f>
        <v>2011</v>
      </c>
      <c r="B47" s="141">
        <f>B46</f>
        <v>6</v>
      </c>
      <c r="C47" s="206"/>
      <c r="D47" s="207"/>
    </row>
    <row r="48" spans="1:13" ht="12.75" customHeight="1" x14ac:dyDescent="0.2">
      <c r="A48" s="117" t="str">
        <f>'(FnCalls 1)'!G11</f>
        <v>Q1 2012</v>
      </c>
      <c r="B48" s="139">
        <f>B46+1</f>
        <v>7</v>
      </c>
      <c r="C48" s="204">
        <f>'(FnCalls 1)'!A11</f>
        <v>40909</v>
      </c>
      <c r="D48" s="205">
        <f>'(FnCalls 1)'!A12-1</f>
        <v>40999</v>
      </c>
    </row>
    <row r="49" spans="1:13" ht="12.75" customHeight="1" x14ac:dyDescent="0.2">
      <c r="A49" s="117" t="str">
        <f>'(FnCalls 1)'!G12</f>
        <v>Q2 2012</v>
      </c>
      <c r="B49" s="139">
        <f>B48+1</f>
        <v>8</v>
      </c>
      <c r="C49" s="204">
        <f>'(FnCalls 1)'!A12</f>
        <v>41000</v>
      </c>
      <c r="D49" s="205">
        <f>'(FnCalls 1)'!A13-1</f>
        <v>41090</v>
      </c>
    </row>
    <row r="50" spans="1:13" ht="12.75" customHeight="1" x14ac:dyDescent="0.2">
      <c r="A50" s="117" t="str">
        <f>'(FnCalls 1)'!G13</f>
        <v>Q3 2012</v>
      </c>
      <c r="B50" s="139">
        <f>B49+1</f>
        <v>9</v>
      </c>
      <c r="C50" s="204">
        <f>'(FnCalls 1)'!A13</f>
        <v>41091</v>
      </c>
      <c r="D50" s="205">
        <f>'(FnCalls 1)'!A14-1</f>
        <v>41182</v>
      </c>
    </row>
    <row r="51" spans="1:13" ht="12.75" customHeight="1" x14ac:dyDescent="0.2">
      <c r="A51" s="117" t="str">
        <f>'(FnCalls 1)'!G14</f>
        <v>Q4 2012</v>
      </c>
      <c r="B51" s="139">
        <f>B50+1</f>
        <v>10</v>
      </c>
      <c r="C51" s="204">
        <f>'(FnCalls 1)'!A14</f>
        <v>41183</v>
      </c>
      <c r="D51" s="205">
        <f>'(FnCalls 1)'!A15-1</f>
        <v>41274</v>
      </c>
    </row>
    <row r="52" spans="1:13" ht="12.75" customHeight="1" x14ac:dyDescent="0.2">
      <c r="A52" s="12" t="str">
        <f>'(FnCalls 1)'!H11</f>
        <v>2012</v>
      </c>
      <c r="B52" s="141">
        <f>B51</f>
        <v>10</v>
      </c>
      <c r="C52" s="206"/>
      <c r="D52" s="207"/>
    </row>
    <row r="54" spans="1:13" ht="12.75" customHeight="1" x14ac:dyDescent="0.2">
      <c r="A54" t="s">
        <v>841</v>
      </c>
      <c r="B54" t="s">
        <v>841</v>
      </c>
      <c r="C54" t="s">
        <v>841</v>
      </c>
      <c r="D54" t="s">
        <v>841</v>
      </c>
      <c r="E54" t="s">
        <v>841</v>
      </c>
      <c r="F54" t="s">
        <v>841</v>
      </c>
      <c r="G54" t="s">
        <v>841</v>
      </c>
      <c r="H54" t="s">
        <v>841</v>
      </c>
      <c r="I54" t="s">
        <v>841</v>
      </c>
      <c r="J54" t="s">
        <v>841</v>
      </c>
      <c r="K54" t="s">
        <v>841</v>
      </c>
      <c r="L54" t="s">
        <v>841</v>
      </c>
      <c r="M54" t="s">
        <v>841</v>
      </c>
    </row>
  </sheetData>
  <mergeCells count="3">
    <mergeCell ref="A1:L1"/>
    <mergeCell ref="A2:L2"/>
    <mergeCell ref="A3:L3"/>
  </mergeCells>
  <pageMargins left="0.25" right="0.25" top="0.5" bottom="0.5" header="0.5" footer="0.5"/>
  <pageSetup paperSize="9" fitToHeight="32767" orientation="landscape" horizontalDpi="300" verticalDpi="300"/>
  <headerFooter alignWithMargins="0"/>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321"/>
  <sheetViews>
    <sheetView zoomScaleNormal="100" workbookViewId="0"/>
  </sheetViews>
  <sheetFormatPr defaultRowHeight="12.75" customHeight="1" x14ac:dyDescent="0.2"/>
  <sheetData>
    <row r="1" spans="1:11" ht="12.75" customHeight="1" x14ac:dyDescent="0.2">
      <c r="A1" s="270" t="str">
        <f>Inputs!E7</f>
        <v>ModelSheet Software</v>
      </c>
      <c r="B1" s="270"/>
      <c r="C1" s="270"/>
      <c r="D1" s="270"/>
    </row>
    <row r="2" spans="1:11" ht="12.75" customHeight="1" x14ac:dyDescent="0.2">
      <c r="A2" s="270" t="str">
        <f>Inputs!E9</f>
        <v>Project Test</v>
      </c>
      <c r="B2" s="270"/>
      <c r="C2" s="270"/>
      <c r="D2" s="270"/>
    </row>
    <row r="3" spans="1:11" ht="12.75" customHeight="1" x14ac:dyDescent="0.2">
      <c r="A3" s="1" t="str">
        <f>"Expense_Oper_Variable_1"</f>
        <v>Expense_Oper_Variable_1</v>
      </c>
    </row>
    <row r="4" spans="1:11" ht="12.75" customHeight="1" x14ac:dyDescent="0.2">
      <c r="B4" s="17" t="str">
        <f>'(FnCalls 1)'!G7</f>
        <v>Q1 2011</v>
      </c>
      <c r="C4" s="18" t="str">
        <f>'(FnCalls 1)'!G8</f>
        <v>Q2 2011</v>
      </c>
      <c r="D4" s="18" t="str">
        <f>'(FnCalls 1)'!G9</f>
        <v>Q3 2011</v>
      </c>
      <c r="E4" s="18" t="str">
        <f>'(FnCalls 1)'!G10</f>
        <v>Q4 2011</v>
      </c>
      <c r="F4" s="62" t="str">
        <f>'(FnCalls 1)'!H7</f>
        <v>2011</v>
      </c>
      <c r="G4" s="18" t="str">
        <f>'(FnCalls 1)'!G11</f>
        <v>Q1 2012</v>
      </c>
      <c r="H4" s="18" t="str">
        <f>'(FnCalls 1)'!G12</f>
        <v>Q2 2012</v>
      </c>
      <c r="I4" s="18" t="str">
        <f>'(FnCalls 1)'!G13</f>
        <v>Q3 2012</v>
      </c>
      <c r="J4" s="18" t="str">
        <f>'(FnCalls 1)'!G14</f>
        <v>Q4 2012</v>
      </c>
      <c r="K4" s="62" t="str">
        <f>'(FnCalls 1)'!H11</f>
        <v>2012</v>
      </c>
    </row>
    <row r="5" spans="1:11" ht="12.75" customHeight="1" x14ac:dyDescent="0.2">
      <c r="A5" s="111" t="str">
        <f>Labels!B182</f>
        <v>Catamarans</v>
      </c>
      <c r="B5" s="110"/>
      <c r="C5" s="110"/>
      <c r="D5" s="110"/>
      <c r="E5" s="110"/>
      <c r="F5" s="75"/>
      <c r="G5" s="110"/>
      <c r="H5" s="110"/>
      <c r="I5" s="110"/>
      <c r="J5" s="110"/>
      <c r="K5" s="75"/>
    </row>
    <row r="6" spans="1:11" ht="12.75" customHeight="1" x14ac:dyDescent="0.2">
      <c r="A6" s="114" t="str">
        <f>"   "&amp;Labels!B186</f>
        <v xml:space="preserve">   Fuel</v>
      </c>
      <c r="B6" s="113"/>
      <c r="C6" s="113"/>
      <c r="D6" s="113"/>
      <c r="E6" s="113"/>
      <c r="F6" s="69"/>
      <c r="G6" s="113"/>
      <c r="H6" s="113"/>
      <c r="I6" s="113"/>
      <c r="J6" s="113"/>
      <c r="K6" s="69"/>
    </row>
    <row r="7" spans="1:11" ht="12.75" customHeight="1" x14ac:dyDescent="0.2">
      <c r="A7" s="144" t="str">
        <f>"      "&amp;Labels!B174</f>
        <v xml:space="preserve">      Product 1</v>
      </c>
      <c r="B7" s="116">
        <f>Inputs!E76*Inputs!E67</f>
        <v>0</v>
      </c>
      <c r="C7" s="116">
        <f>Inputs!F76*Inputs!F67</f>
        <v>0</v>
      </c>
      <c r="D7" s="116">
        <f>Inputs!G76*Inputs!G67</f>
        <v>0</v>
      </c>
      <c r="E7" s="116">
        <f>Inputs!H76*Inputs!H67</f>
        <v>0</v>
      </c>
      <c r="F7" s="69">
        <f>SUM(B7:E7)</f>
        <v>0</v>
      </c>
      <c r="G7" s="116">
        <f>Inputs!J76*Inputs!J67</f>
        <v>0</v>
      </c>
      <c r="H7" s="116">
        <f>Inputs!K76*Inputs!K67</f>
        <v>0</v>
      </c>
      <c r="I7" s="116">
        <f>Inputs!L76*Inputs!L67</f>
        <v>0</v>
      </c>
      <c r="J7" s="116">
        <f>Inputs!M76*Inputs!M67</f>
        <v>0</v>
      </c>
      <c r="K7" s="69">
        <f>SUM(G7:J7)</f>
        <v>0</v>
      </c>
    </row>
    <row r="8" spans="1:11" ht="12.75" customHeight="1" x14ac:dyDescent="0.2">
      <c r="A8" s="114" t="str">
        <f>"      "&amp;Labels!C173</f>
        <v xml:space="preserve">      Total</v>
      </c>
      <c r="B8" s="113">
        <f>B7</f>
        <v>0</v>
      </c>
      <c r="C8" s="113">
        <f>C7</f>
        <v>0</v>
      </c>
      <c r="D8" s="113">
        <f>D7</f>
        <v>0</v>
      </c>
      <c r="E8" s="113">
        <f>E7</f>
        <v>0</v>
      </c>
      <c r="F8" s="69">
        <f>SUM(B8:E8)</f>
        <v>0</v>
      </c>
      <c r="G8" s="113">
        <f>G7</f>
        <v>0</v>
      </c>
      <c r="H8" s="113">
        <f>H7</f>
        <v>0</v>
      </c>
      <c r="I8" s="113">
        <f>I7</f>
        <v>0</v>
      </c>
      <c r="J8" s="113">
        <f>J7</f>
        <v>0</v>
      </c>
      <c r="K8" s="69">
        <f>SUM(G8:J8)</f>
        <v>0</v>
      </c>
    </row>
    <row r="9" spans="1:11" ht="12.75" customHeight="1" x14ac:dyDescent="0.2">
      <c r="A9" s="114" t="str">
        <f>"   "&amp;Labels!B187</f>
        <v xml:space="preserve">   Maintenance</v>
      </c>
      <c r="B9" s="113"/>
      <c r="C9" s="113"/>
      <c r="D9" s="113"/>
      <c r="E9" s="113"/>
      <c r="F9" s="69"/>
      <c r="G9" s="113"/>
      <c r="H9" s="113"/>
      <c r="I9" s="113"/>
      <c r="J9" s="113"/>
      <c r="K9" s="69"/>
    </row>
    <row r="10" spans="1:11" ht="12.75" customHeight="1" x14ac:dyDescent="0.2">
      <c r="A10" s="144" t="str">
        <f>"      "&amp;Labels!B174</f>
        <v xml:space="preserve">      Product 1</v>
      </c>
      <c r="B10" s="116">
        <f>Inputs!E77*Inputs!E67</f>
        <v>0</v>
      </c>
      <c r="C10" s="116">
        <f>Inputs!F77*Inputs!F67</f>
        <v>0</v>
      </c>
      <c r="D10" s="116">
        <f>Inputs!G77*Inputs!G67</f>
        <v>0</v>
      </c>
      <c r="E10" s="116">
        <f>Inputs!H77*Inputs!H67</f>
        <v>0</v>
      </c>
      <c r="F10" s="69">
        <f>SUM(B10:E10)</f>
        <v>0</v>
      </c>
      <c r="G10" s="116">
        <f>Inputs!J77*Inputs!J67</f>
        <v>0</v>
      </c>
      <c r="H10" s="116">
        <f>Inputs!K77*Inputs!K67</f>
        <v>0</v>
      </c>
      <c r="I10" s="116">
        <f>Inputs!L77*Inputs!L67</f>
        <v>0</v>
      </c>
      <c r="J10" s="116">
        <f>Inputs!M77*Inputs!M67</f>
        <v>0</v>
      </c>
      <c r="K10" s="69">
        <f>SUM(G10:J10)</f>
        <v>0</v>
      </c>
    </row>
    <row r="11" spans="1:11" ht="12.75" customHeight="1" x14ac:dyDescent="0.2">
      <c r="A11" s="114" t="str">
        <f>"      "&amp;Labels!C173</f>
        <v xml:space="preserve">      Total</v>
      </c>
      <c r="B11" s="113">
        <f>B10</f>
        <v>0</v>
      </c>
      <c r="C11" s="113">
        <f>C10</f>
        <v>0</v>
      </c>
      <c r="D11" s="113">
        <f>D10</f>
        <v>0</v>
      </c>
      <c r="E11" s="113">
        <f>E10</f>
        <v>0</v>
      </c>
      <c r="F11" s="69">
        <f>SUM(B11:E11)</f>
        <v>0</v>
      </c>
      <c r="G11" s="113">
        <f>G10</f>
        <v>0</v>
      </c>
      <c r="H11" s="113">
        <f>H10</f>
        <v>0</v>
      </c>
      <c r="I11" s="113">
        <f>I10</f>
        <v>0</v>
      </c>
      <c r="J11" s="113">
        <f>J10</f>
        <v>0</v>
      </c>
      <c r="K11" s="69">
        <f>SUM(G11:J11)</f>
        <v>0</v>
      </c>
    </row>
    <row r="12" spans="1:11" ht="12.75" customHeight="1" x14ac:dyDescent="0.2">
      <c r="A12" s="117" t="str">
        <f>"   "&amp;Labels!C185</f>
        <v xml:space="preserve">   Total</v>
      </c>
      <c r="B12" s="120">
        <f>SUM(B8,B11)</f>
        <v>0</v>
      </c>
      <c r="C12" s="120">
        <f>SUM(C8,C11)</f>
        <v>0</v>
      </c>
      <c r="D12" s="120">
        <f>SUM(D8,D11)</f>
        <v>0</v>
      </c>
      <c r="E12" s="120">
        <f>SUM(E8,E11)</f>
        <v>0</v>
      </c>
      <c r="F12" s="69">
        <f>SUM(B12:E12)</f>
        <v>0</v>
      </c>
      <c r="G12" s="120">
        <f>SUM(G8,G11)</f>
        <v>0</v>
      </c>
      <c r="H12" s="120">
        <f>SUM(H8,H11)</f>
        <v>0</v>
      </c>
      <c r="I12" s="120">
        <f>SUM(I8,I11)</f>
        <v>0</v>
      </c>
      <c r="J12" s="120">
        <f>SUM(J8,J11)</f>
        <v>0</v>
      </c>
      <c r="K12" s="69">
        <f>SUM(G12:J12)</f>
        <v>0</v>
      </c>
    </row>
    <row r="13" spans="1:11" ht="12.75" customHeight="1" x14ac:dyDescent="0.2">
      <c r="A13" s="144" t="str">
        <f>"      "&amp;Labels!B174</f>
        <v xml:space="preserve">      Product 1</v>
      </c>
      <c r="B13" s="116">
        <f t="shared" ref="B13:E14" si="0">SUM(B7,B10)</f>
        <v>0</v>
      </c>
      <c r="C13" s="116">
        <f t="shared" si="0"/>
        <v>0</v>
      </c>
      <c r="D13" s="116">
        <f t="shared" si="0"/>
        <v>0</v>
      </c>
      <c r="E13" s="116">
        <f t="shared" si="0"/>
        <v>0</v>
      </c>
      <c r="F13" s="69">
        <f>SUM(B13:E13)</f>
        <v>0</v>
      </c>
      <c r="G13" s="116">
        <f t="shared" ref="G13:J14" si="1">SUM(G7,G10)</f>
        <v>0</v>
      </c>
      <c r="H13" s="116">
        <f t="shared" si="1"/>
        <v>0</v>
      </c>
      <c r="I13" s="116">
        <f t="shared" si="1"/>
        <v>0</v>
      </c>
      <c r="J13" s="116">
        <f t="shared" si="1"/>
        <v>0</v>
      </c>
      <c r="K13" s="69">
        <f>SUM(G13:J13)</f>
        <v>0</v>
      </c>
    </row>
    <row r="14" spans="1:11" ht="12.75" customHeight="1" x14ac:dyDescent="0.2">
      <c r="A14" s="114" t="str">
        <f>"      "&amp;Labels!C173</f>
        <v xml:space="preserve">      Total</v>
      </c>
      <c r="B14" s="113">
        <f t="shared" si="0"/>
        <v>0</v>
      </c>
      <c r="C14" s="113">
        <f t="shared" si="0"/>
        <v>0</v>
      </c>
      <c r="D14" s="113">
        <f t="shared" si="0"/>
        <v>0</v>
      </c>
      <c r="E14" s="113">
        <f t="shared" si="0"/>
        <v>0</v>
      </c>
      <c r="F14" s="69">
        <f>SUM(B12:E12)</f>
        <v>0</v>
      </c>
      <c r="G14" s="113">
        <f t="shared" si="1"/>
        <v>0</v>
      </c>
      <c r="H14" s="113">
        <f t="shared" si="1"/>
        <v>0</v>
      </c>
      <c r="I14" s="113">
        <f t="shared" si="1"/>
        <v>0</v>
      </c>
      <c r="J14" s="113">
        <f t="shared" si="1"/>
        <v>0</v>
      </c>
      <c r="K14" s="69">
        <f>SUM(G12:J12)</f>
        <v>0</v>
      </c>
    </row>
    <row r="15" spans="1:11" ht="12.75" customHeight="1" x14ac:dyDescent="0.2">
      <c r="A15" s="117" t="str">
        <f>Labels!B183</f>
        <v>Canoes</v>
      </c>
      <c r="B15" s="120"/>
      <c r="C15" s="120"/>
      <c r="D15" s="120"/>
      <c r="E15" s="120"/>
      <c r="F15" s="69"/>
      <c r="G15" s="120"/>
      <c r="H15" s="120"/>
      <c r="I15" s="120"/>
      <c r="J15" s="120"/>
      <c r="K15" s="69"/>
    </row>
    <row r="16" spans="1:11" ht="12.75" customHeight="1" x14ac:dyDescent="0.2">
      <c r="A16" s="114" t="str">
        <f>"   "&amp;Labels!B186</f>
        <v xml:space="preserve">   Fuel</v>
      </c>
      <c r="B16" s="113"/>
      <c r="C16" s="113"/>
      <c r="D16" s="113"/>
      <c r="E16" s="113"/>
      <c r="F16" s="69"/>
      <c r="G16" s="113"/>
      <c r="H16" s="113"/>
      <c r="I16" s="113"/>
      <c r="J16" s="113"/>
      <c r="K16" s="69"/>
    </row>
    <row r="17" spans="1:11" ht="12.75" customHeight="1" x14ac:dyDescent="0.2">
      <c r="A17" s="144" t="str">
        <f>"      "&amp;Labels!B174</f>
        <v xml:space="preserve">      Product 1</v>
      </c>
      <c r="B17" s="116">
        <f>Inputs!E78*Inputs!E68</f>
        <v>0</v>
      </c>
      <c r="C17" s="116">
        <f>Inputs!F78*Inputs!F68</f>
        <v>0</v>
      </c>
      <c r="D17" s="116">
        <f>Inputs!G78*Inputs!G68</f>
        <v>0</v>
      </c>
      <c r="E17" s="116">
        <f>Inputs!H78*Inputs!H68</f>
        <v>0</v>
      </c>
      <c r="F17" s="69">
        <f>SUM(B17:E17)</f>
        <v>0</v>
      </c>
      <c r="G17" s="116">
        <f>Inputs!J78*Inputs!J68</f>
        <v>0</v>
      </c>
      <c r="H17" s="116">
        <f>Inputs!K78*Inputs!K68</f>
        <v>0</v>
      </c>
      <c r="I17" s="116">
        <f>Inputs!L78*Inputs!L68</f>
        <v>0</v>
      </c>
      <c r="J17" s="116">
        <f>Inputs!M78*Inputs!M68</f>
        <v>0</v>
      </c>
      <c r="K17" s="69">
        <f>SUM(G17:J17)</f>
        <v>0</v>
      </c>
    </row>
    <row r="18" spans="1:11" ht="12.75" customHeight="1" x14ac:dyDescent="0.2">
      <c r="A18" s="114" t="str">
        <f>"      "&amp;Labels!C173</f>
        <v xml:space="preserve">      Total</v>
      </c>
      <c r="B18" s="113">
        <f>B17</f>
        <v>0</v>
      </c>
      <c r="C18" s="113">
        <f>C17</f>
        <v>0</v>
      </c>
      <c r="D18" s="113">
        <f>D17</f>
        <v>0</v>
      </c>
      <c r="E18" s="113">
        <f>E17</f>
        <v>0</v>
      </c>
      <c r="F18" s="69">
        <f>SUM(B18:E18)</f>
        <v>0</v>
      </c>
      <c r="G18" s="113">
        <f>G17</f>
        <v>0</v>
      </c>
      <c r="H18" s="113">
        <f>H17</f>
        <v>0</v>
      </c>
      <c r="I18" s="113">
        <f>I17</f>
        <v>0</v>
      </c>
      <c r="J18" s="113">
        <f>J17</f>
        <v>0</v>
      </c>
      <c r="K18" s="69">
        <f>SUM(G18:J18)</f>
        <v>0</v>
      </c>
    </row>
    <row r="19" spans="1:11" ht="12.75" customHeight="1" x14ac:dyDescent="0.2">
      <c r="A19" s="114" t="str">
        <f>"   "&amp;Labels!B187</f>
        <v xml:space="preserve">   Maintenance</v>
      </c>
      <c r="B19" s="113"/>
      <c r="C19" s="113"/>
      <c r="D19" s="113"/>
      <c r="E19" s="113"/>
      <c r="F19" s="69"/>
      <c r="G19" s="113"/>
      <c r="H19" s="113"/>
      <c r="I19" s="113"/>
      <c r="J19" s="113"/>
      <c r="K19" s="69"/>
    </row>
    <row r="20" spans="1:11" ht="12.75" customHeight="1" x14ac:dyDescent="0.2">
      <c r="A20" s="144" t="str">
        <f>"      "&amp;Labels!B174</f>
        <v xml:space="preserve">      Product 1</v>
      </c>
      <c r="B20" s="116">
        <f>Inputs!E79*Inputs!E68</f>
        <v>0</v>
      </c>
      <c r="C20" s="116">
        <f>Inputs!F79*Inputs!F68</f>
        <v>0</v>
      </c>
      <c r="D20" s="116">
        <f>Inputs!G79*Inputs!G68</f>
        <v>0</v>
      </c>
      <c r="E20" s="116">
        <f>Inputs!H79*Inputs!H68</f>
        <v>0</v>
      </c>
      <c r="F20" s="69">
        <f>SUM(B20:E20)</f>
        <v>0</v>
      </c>
      <c r="G20" s="116">
        <f>Inputs!J79*Inputs!J68</f>
        <v>0</v>
      </c>
      <c r="H20" s="116">
        <f>Inputs!K79*Inputs!K68</f>
        <v>0</v>
      </c>
      <c r="I20" s="116">
        <f>Inputs!L79*Inputs!L68</f>
        <v>0</v>
      </c>
      <c r="J20" s="116">
        <f>Inputs!M79*Inputs!M68</f>
        <v>0</v>
      </c>
      <c r="K20" s="69">
        <f>SUM(G20:J20)</f>
        <v>0</v>
      </c>
    </row>
    <row r="21" spans="1:11" ht="12.75" customHeight="1" x14ac:dyDescent="0.2">
      <c r="A21" s="114" t="str">
        <f>"      "&amp;Labels!C173</f>
        <v xml:space="preserve">      Total</v>
      </c>
      <c r="B21" s="113">
        <f>B20</f>
        <v>0</v>
      </c>
      <c r="C21" s="113">
        <f>C20</f>
        <v>0</v>
      </c>
      <c r="D21" s="113">
        <f>D20</f>
        <v>0</v>
      </c>
      <c r="E21" s="113">
        <f>E20</f>
        <v>0</v>
      </c>
      <c r="F21" s="69">
        <f>SUM(B21:E21)</f>
        <v>0</v>
      </c>
      <c r="G21" s="113">
        <f>G20</f>
        <v>0</v>
      </c>
      <c r="H21" s="113">
        <f>H20</f>
        <v>0</v>
      </c>
      <c r="I21" s="113">
        <f>I20</f>
        <v>0</v>
      </c>
      <c r="J21" s="113">
        <f>J20</f>
        <v>0</v>
      </c>
      <c r="K21" s="69">
        <f>SUM(G21:J21)</f>
        <v>0</v>
      </c>
    </row>
    <row r="22" spans="1:11" ht="12.75" customHeight="1" x14ac:dyDescent="0.2">
      <c r="A22" s="117" t="str">
        <f>"   "&amp;Labels!C185</f>
        <v xml:space="preserve">   Total</v>
      </c>
      <c r="B22" s="120">
        <f>SUM(B18,B21)</f>
        <v>0</v>
      </c>
      <c r="C22" s="120">
        <f>SUM(C18,C21)</f>
        <v>0</v>
      </c>
      <c r="D22" s="120">
        <f>SUM(D18,D21)</f>
        <v>0</v>
      </c>
      <c r="E22" s="120">
        <f>SUM(E18,E21)</f>
        <v>0</v>
      </c>
      <c r="F22" s="69">
        <f>SUM(B22:E22)</f>
        <v>0</v>
      </c>
      <c r="G22" s="120">
        <f>SUM(G18,G21)</f>
        <v>0</v>
      </c>
      <c r="H22" s="120">
        <f>SUM(H18,H21)</f>
        <v>0</v>
      </c>
      <c r="I22" s="120">
        <f>SUM(I18,I21)</f>
        <v>0</v>
      </c>
      <c r="J22" s="120">
        <f>SUM(J18,J21)</f>
        <v>0</v>
      </c>
      <c r="K22" s="69">
        <f>SUM(G22:J22)</f>
        <v>0</v>
      </c>
    </row>
    <row r="23" spans="1:11" ht="12.75" customHeight="1" x14ac:dyDescent="0.2">
      <c r="A23" s="144" t="str">
        <f>"      "&amp;Labels!B174</f>
        <v xml:space="preserve">      Product 1</v>
      </c>
      <c r="B23" s="116">
        <f t="shared" ref="B23:E24" si="2">SUM(B17,B20)</f>
        <v>0</v>
      </c>
      <c r="C23" s="116">
        <f t="shared" si="2"/>
        <v>0</v>
      </c>
      <c r="D23" s="116">
        <f t="shared" si="2"/>
        <v>0</v>
      </c>
      <c r="E23" s="116">
        <f t="shared" si="2"/>
        <v>0</v>
      </c>
      <c r="F23" s="69">
        <f>SUM(B23:E23)</f>
        <v>0</v>
      </c>
      <c r="G23" s="116">
        <f t="shared" ref="G23:J24" si="3">SUM(G17,G20)</f>
        <v>0</v>
      </c>
      <c r="H23" s="116">
        <f t="shared" si="3"/>
        <v>0</v>
      </c>
      <c r="I23" s="116">
        <f t="shared" si="3"/>
        <v>0</v>
      </c>
      <c r="J23" s="116">
        <f t="shared" si="3"/>
        <v>0</v>
      </c>
      <c r="K23" s="69">
        <f>SUM(G23:J23)</f>
        <v>0</v>
      </c>
    </row>
    <row r="24" spans="1:11" ht="12.75" customHeight="1" x14ac:dyDescent="0.2">
      <c r="A24" s="114" t="str">
        <f>"      "&amp;Labels!C173</f>
        <v xml:space="preserve">      Total</v>
      </c>
      <c r="B24" s="113">
        <f t="shared" si="2"/>
        <v>0</v>
      </c>
      <c r="C24" s="113">
        <f t="shared" si="2"/>
        <v>0</v>
      </c>
      <c r="D24" s="113">
        <f t="shared" si="2"/>
        <v>0</v>
      </c>
      <c r="E24" s="113">
        <f t="shared" si="2"/>
        <v>0</v>
      </c>
      <c r="F24" s="69">
        <f>SUM(B22:E22)</f>
        <v>0</v>
      </c>
      <c r="G24" s="113">
        <f t="shared" si="3"/>
        <v>0</v>
      </c>
      <c r="H24" s="113">
        <f t="shared" si="3"/>
        <v>0</v>
      </c>
      <c r="I24" s="113">
        <f t="shared" si="3"/>
        <v>0</v>
      </c>
      <c r="J24" s="113">
        <f t="shared" si="3"/>
        <v>0</v>
      </c>
      <c r="K24" s="69">
        <f>SUM(G22:J22)</f>
        <v>0</v>
      </c>
    </row>
    <row r="25" spans="1:11" ht="12.75" customHeight="1" x14ac:dyDescent="0.2">
      <c r="A25" s="12" t="str">
        <f>Labels!C181</f>
        <v>Total</v>
      </c>
      <c r="B25" s="107">
        <f>SUM(B12,B22)</f>
        <v>0</v>
      </c>
      <c r="C25" s="107">
        <f>SUM(C12,C22)</f>
        <v>0</v>
      </c>
      <c r="D25" s="107">
        <f>SUM(D12,D22)</f>
        <v>0</v>
      </c>
      <c r="E25" s="107">
        <f>SUM(E12,E22)</f>
        <v>0</v>
      </c>
      <c r="F25" s="108">
        <f>SUM(B25:E25)</f>
        <v>0</v>
      </c>
      <c r="G25" s="107">
        <f>SUM(G12,G22)</f>
        <v>0</v>
      </c>
      <c r="H25" s="107">
        <f>SUM(H12,H22)</f>
        <v>0</v>
      </c>
      <c r="I25" s="107">
        <f>SUM(I12,I22)</f>
        <v>0</v>
      </c>
      <c r="J25" s="107">
        <f>SUM(J12,J22)</f>
        <v>0</v>
      </c>
      <c r="K25" s="108">
        <f>SUM(G25:J25)</f>
        <v>0</v>
      </c>
    </row>
    <row r="26" spans="1:11" ht="12.75" customHeight="1" x14ac:dyDescent="0.2">
      <c r="A26" s="114" t="str">
        <f>"   "&amp;Labels!B186</f>
        <v xml:space="preserve">   Fuel</v>
      </c>
      <c r="B26" s="113"/>
      <c r="C26" s="113"/>
      <c r="D26" s="113"/>
      <c r="E26" s="113"/>
      <c r="F26" s="69"/>
      <c r="G26" s="113"/>
      <c r="H26" s="113"/>
      <c r="I26" s="113"/>
      <c r="J26" s="113"/>
      <c r="K26" s="69"/>
    </row>
    <row r="27" spans="1:11" ht="12.75" customHeight="1" x14ac:dyDescent="0.2">
      <c r="A27" s="144" t="str">
        <f>"      "&amp;Labels!B174</f>
        <v xml:space="preserve">      Product 1</v>
      </c>
      <c r="B27" s="116">
        <f t="shared" ref="B27:E28" si="4">SUM(B7,B17)</f>
        <v>0</v>
      </c>
      <c r="C27" s="116">
        <f t="shared" si="4"/>
        <v>0</v>
      </c>
      <c r="D27" s="116">
        <f t="shared" si="4"/>
        <v>0</v>
      </c>
      <c r="E27" s="116">
        <f t="shared" si="4"/>
        <v>0</v>
      </c>
      <c r="F27" s="69">
        <f>SUM(B27:E27)</f>
        <v>0</v>
      </c>
      <c r="G27" s="116">
        <f t="shared" ref="G27:J28" si="5">SUM(G7,G17)</f>
        <v>0</v>
      </c>
      <c r="H27" s="116">
        <f t="shared" si="5"/>
        <v>0</v>
      </c>
      <c r="I27" s="116">
        <f t="shared" si="5"/>
        <v>0</v>
      </c>
      <c r="J27" s="116">
        <f t="shared" si="5"/>
        <v>0</v>
      </c>
      <c r="K27" s="69">
        <f>SUM(G27:J27)</f>
        <v>0</v>
      </c>
    </row>
    <row r="28" spans="1:11" ht="12.75" customHeight="1" x14ac:dyDescent="0.2">
      <c r="A28" s="114" t="str">
        <f>"      "&amp;Labels!C173</f>
        <v xml:space="preserve">      Total</v>
      </c>
      <c r="B28" s="113">
        <f t="shared" si="4"/>
        <v>0</v>
      </c>
      <c r="C28" s="113">
        <f t="shared" si="4"/>
        <v>0</v>
      </c>
      <c r="D28" s="113">
        <f t="shared" si="4"/>
        <v>0</v>
      </c>
      <c r="E28" s="113">
        <f t="shared" si="4"/>
        <v>0</v>
      </c>
      <c r="F28" s="69">
        <f>SUM(B28:E28)</f>
        <v>0</v>
      </c>
      <c r="G28" s="113">
        <f t="shared" si="5"/>
        <v>0</v>
      </c>
      <c r="H28" s="113">
        <f t="shared" si="5"/>
        <v>0</v>
      </c>
      <c r="I28" s="113">
        <f t="shared" si="5"/>
        <v>0</v>
      </c>
      <c r="J28" s="113">
        <f t="shared" si="5"/>
        <v>0</v>
      </c>
      <c r="K28" s="69">
        <f>SUM(G28:J28)</f>
        <v>0</v>
      </c>
    </row>
    <row r="29" spans="1:11" ht="12.75" customHeight="1" x14ac:dyDescent="0.2">
      <c r="A29" s="114" t="str">
        <f>"   "&amp;Labels!B187</f>
        <v xml:space="preserve">   Maintenance</v>
      </c>
      <c r="B29" s="113"/>
      <c r="C29" s="113"/>
      <c r="D29" s="113"/>
      <c r="E29" s="113"/>
      <c r="F29" s="69"/>
      <c r="G29" s="113"/>
      <c r="H29" s="113"/>
      <c r="I29" s="113"/>
      <c r="J29" s="113"/>
      <c r="K29" s="69"/>
    </row>
    <row r="30" spans="1:11" ht="12.75" customHeight="1" x14ac:dyDescent="0.2">
      <c r="A30" s="144" t="str">
        <f>"      "&amp;Labels!B174</f>
        <v xml:space="preserve">      Product 1</v>
      </c>
      <c r="B30" s="116">
        <f t="shared" ref="B30:E33" si="6">SUM(B10,B20)</f>
        <v>0</v>
      </c>
      <c r="C30" s="116">
        <f t="shared" si="6"/>
        <v>0</v>
      </c>
      <c r="D30" s="116">
        <f t="shared" si="6"/>
        <v>0</v>
      </c>
      <c r="E30" s="116">
        <f t="shared" si="6"/>
        <v>0</v>
      </c>
      <c r="F30" s="69">
        <f>SUM(B30:E30)</f>
        <v>0</v>
      </c>
      <c r="G30" s="116">
        <f t="shared" ref="G30:J33" si="7">SUM(G10,G20)</f>
        <v>0</v>
      </c>
      <c r="H30" s="116">
        <f t="shared" si="7"/>
        <v>0</v>
      </c>
      <c r="I30" s="116">
        <f t="shared" si="7"/>
        <v>0</v>
      </c>
      <c r="J30" s="116">
        <f t="shared" si="7"/>
        <v>0</v>
      </c>
      <c r="K30" s="69">
        <f>SUM(G30:J30)</f>
        <v>0</v>
      </c>
    </row>
    <row r="31" spans="1:11" ht="12.75" customHeight="1" x14ac:dyDescent="0.2">
      <c r="A31" s="114" t="str">
        <f>"      "&amp;Labels!C173</f>
        <v xml:space="preserve">      Total</v>
      </c>
      <c r="B31" s="113">
        <f t="shared" si="6"/>
        <v>0</v>
      </c>
      <c r="C31" s="113">
        <f t="shared" si="6"/>
        <v>0</v>
      </c>
      <c r="D31" s="113">
        <f t="shared" si="6"/>
        <v>0</v>
      </c>
      <c r="E31" s="113">
        <f t="shared" si="6"/>
        <v>0</v>
      </c>
      <c r="F31" s="69">
        <f>SUM(B31:E31)</f>
        <v>0</v>
      </c>
      <c r="G31" s="113">
        <f t="shared" si="7"/>
        <v>0</v>
      </c>
      <c r="H31" s="113">
        <f t="shared" si="7"/>
        <v>0</v>
      </c>
      <c r="I31" s="113">
        <f t="shared" si="7"/>
        <v>0</v>
      </c>
      <c r="J31" s="113">
        <f t="shared" si="7"/>
        <v>0</v>
      </c>
      <c r="K31" s="69">
        <f>SUM(G31:J31)</f>
        <v>0</v>
      </c>
    </row>
    <row r="32" spans="1:11" ht="12.75" customHeight="1" x14ac:dyDescent="0.2">
      <c r="A32" s="117" t="str">
        <f>"   "&amp;Labels!C185</f>
        <v xml:space="preserve">   Total</v>
      </c>
      <c r="B32" s="120">
        <f t="shared" si="6"/>
        <v>0</v>
      </c>
      <c r="C32" s="120">
        <f t="shared" si="6"/>
        <v>0</v>
      </c>
      <c r="D32" s="120">
        <f t="shared" si="6"/>
        <v>0</v>
      </c>
      <c r="E32" s="120">
        <f t="shared" si="6"/>
        <v>0</v>
      </c>
      <c r="F32" s="69">
        <f>SUM(B25:E25)</f>
        <v>0</v>
      </c>
      <c r="G32" s="120">
        <f t="shared" si="7"/>
        <v>0</v>
      </c>
      <c r="H32" s="120">
        <f t="shared" si="7"/>
        <v>0</v>
      </c>
      <c r="I32" s="120">
        <f t="shared" si="7"/>
        <v>0</v>
      </c>
      <c r="J32" s="120">
        <f t="shared" si="7"/>
        <v>0</v>
      </c>
      <c r="K32" s="69">
        <f>SUM(G25:J25)</f>
        <v>0</v>
      </c>
    </row>
    <row r="33" spans="1:13" ht="12.75" customHeight="1" x14ac:dyDescent="0.2">
      <c r="A33" s="144" t="str">
        <f>"      "&amp;Labels!B174</f>
        <v xml:space="preserve">      Product 1</v>
      </c>
      <c r="B33" s="116">
        <f t="shared" si="6"/>
        <v>0</v>
      </c>
      <c r="C33" s="116">
        <f t="shared" si="6"/>
        <v>0</v>
      </c>
      <c r="D33" s="116">
        <f t="shared" si="6"/>
        <v>0</v>
      </c>
      <c r="E33" s="116">
        <f t="shared" si="6"/>
        <v>0</v>
      </c>
      <c r="F33" s="69">
        <f>SUM(B33:E33)</f>
        <v>0</v>
      </c>
      <c r="G33" s="116">
        <f t="shared" si="7"/>
        <v>0</v>
      </c>
      <c r="H33" s="116">
        <f t="shared" si="7"/>
        <v>0</v>
      </c>
      <c r="I33" s="116">
        <f t="shared" si="7"/>
        <v>0</v>
      </c>
      <c r="J33" s="116">
        <f t="shared" si="7"/>
        <v>0</v>
      </c>
      <c r="K33" s="69">
        <f>SUM(G33:J33)</f>
        <v>0</v>
      </c>
    </row>
    <row r="34" spans="1:13" ht="12.75" customHeight="1" x14ac:dyDescent="0.2">
      <c r="A34" s="145" t="str">
        <f>"      "&amp;Labels!C173</f>
        <v xml:space="preserve">      Total</v>
      </c>
      <c r="B34" s="123">
        <f>SUM(B12,B22)</f>
        <v>0</v>
      </c>
      <c r="C34" s="123">
        <f>SUM(C12,C22)</f>
        <v>0</v>
      </c>
      <c r="D34" s="123">
        <f>SUM(D12,D22)</f>
        <v>0</v>
      </c>
      <c r="E34" s="123">
        <f>SUM(E12,E22)</f>
        <v>0</v>
      </c>
      <c r="F34" s="70">
        <f>SUM(B25:E25)</f>
        <v>0</v>
      </c>
      <c r="G34" s="123">
        <f>SUM(G12,G22)</f>
        <v>0</v>
      </c>
      <c r="H34" s="123">
        <f>SUM(H12,H22)</f>
        <v>0</v>
      </c>
      <c r="I34" s="123">
        <f>SUM(I12,I22)</f>
        <v>0</v>
      </c>
      <c r="J34" s="123">
        <f>SUM(J12,J22)</f>
        <v>0</v>
      </c>
      <c r="K34" s="70">
        <f>SUM(G25:J25)</f>
        <v>0</v>
      </c>
    </row>
    <row r="35" spans="1:13" ht="12.75" customHeight="1" x14ac:dyDescent="0.2">
      <c r="A35" s="1" t="str">
        <f>"Working_Capital_1"</f>
        <v>Working_Capital_1</v>
      </c>
    </row>
    <row r="36" spans="1:13" ht="12.75" customHeight="1" x14ac:dyDescent="0.2">
      <c r="B36" s="17" t="str">
        <f>'(FnCalls 1)'!G6</f>
        <v>Q4 2010</v>
      </c>
      <c r="C36" s="62" t="str">
        <f>'(FnCalls 1)'!H4</f>
        <v>2010</v>
      </c>
      <c r="D36" s="18" t="str">
        <f>'(FnCalls 1)'!G7</f>
        <v>Q1 2011</v>
      </c>
      <c r="E36" s="18" t="str">
        <f>'(FnCalls 1)'!G8</f>
        <v>Q2 2011</v>
      </c>
      <c r="F36" s="18" t="str">
        <f>'(FnCalls 1)'!G9</f>
        <v>Q3 2011</v>
      </c>
      <c r="G36" s="18" t="str">
        <f>'(FnCalls 1)'!G10</f>
        <v>Q4 2011</v>
      </c>
      <c r="H36" s="62" t="str">
        <f>'(FnCalls 1)'!H7</f>
        <v>2011</v>
      </c>
      <c r="I36" s="18" t="str">
        <f>'(FnCalls 1)'!G11</f>
        <v>Q1 2012</v>
      </c>
      <c r="J36" s="18" t="str">
        <f>'(FnCalls 1)'!G12</f>
        <v>Q2 2012</v>
      </c>
      <c r="K36" s="18" t="str">
        <f>'(FnCalls 1)'!G13</f>
        <v>Q3 2012</v>
      </c>
      <c r="L36" s="18" t="str">
        <f>'(FnCalls 1)'!G14</f>
        <v>Q4 2012</v>
      </c>
      <c r="M36" s="62" t="str">
        <f>'(FnCalls 1)'!H11</f>
        <v>2012</v>
      </c>
    </row>
    <row r="37" spans="1:13" ht="12.75" customHeight="1" x14ac:dyDescent="0.2">
      <c r="A37" s="111" t="str">
        <f>Labels!B190</f>
        <v>Receivables</v>
      </c>
      <c r="B37" s="110"/>
      <c r="C37" s="75"/>
      <c r="D37" s="110"/>
      <c r="E37" s="110"/>
      <c r="F37" s="110"/>
      <c r="G37" s="110"/>
      <c r="H37" s="75"/>
      <c r="I37" s="110"/>
      <c r="J37" s="110"/>
      <c r="K37" s="110"/>
      <c r="L37" s="110"/>
      <c r="M37" s="75"/>
    </row>
    <row r="38" spans="1:13" ht="12.75" customHeight="1" x14ac:dyDescent="0.2">
      <c r="A38" s="114" t="str">
        <f>"   "&amp;Labels!B182</f>
        <v xml:space="preserve">   Catamarans</v>
      </c>
      <c r="B38" s="113"/>
      <c r="C38" s="69"/>
      <c r="D38" s="113"/>
      <c r="E38" s="113"/>
      <c r="F38" s="113"/>
      <c r="G38" s="113"/>
      <c r="H38" s="69"/>
      <c r="I38" s="113"/>
      <c r="J38" s="113"/>
      <c r="K38" s="113"/>
      <c r="L38" s="113"/>
      <c r="M38" s="69"/>
    </row>
    <row r="39" spans="1:13" ht="12.75" customHeight="1" x14ac:dyDescent="0.2">
      <c r="A39" s="144" t="str">
        <f>"      "&amp;Labels!B174</f>
        <v xml:space="preserve">      Product 1</v>
      </c>
      <c r="B39" s="116"/>
      <c r="C39" s="69">
        <f>B39</f>
        <v>0</v>
      </c>
      <c r="D39" s="116">
        <f>Inputs!E40*Inputs!E67</f>
        <v>0</v>
      </c>
      <c r="E39" s="116">
        <f>Inputs!E40*Inputs!F67</f>
        <v>0</v>
      </c>
      <c r="F39" s="116">
        <f>Inputs!E40*Inputs!G67</f>
        <v>0</v>
      </c>
      <c r="G39" s="116">
        <f>Inputs!E40*Inputs!H67</f>
        <v>0</v>
      </c>
      <c r="H39" s="69">
        <f>G39</f>
        <v>0</v>
      </c>
      <c r="I39" s="116">
        <f>Inputs!E40*Inputs!J67</f>
        <v>0</v>
      </c>
      <c r="J39" s="116">
        <f>Inputs!E40*Inputs!K67</f>
        <v>0</v>
      </c>
      <c r="K39" s="116">
        <f>Inputs!E40*Inputs!L67</f>
        <v>0</v>
      </c>
      <c r="L39" s="116">
        <f>Inputs!E40*Inputs!M67</f>
        <v>0</v>
      </c>
      <c r="M39" s="69">
        <f>L39</f>
        <v>0</v>
      </c>
    </row>
    <row r="40" spans="1:13" ht="12.75" customHeight="1" x14ac:dyDescent="0.2">
      <c r="A40" s="114" t="str">
        <f>"      "&amp;Labels!C173</f>
        <v xml:space="preserve">      Total</v>
      </c>
      <c r="B40" s="113">
        <f>B39</f>
        <v>0</v>
      </c>
      <c r="C40" s="69">
        <f>B39</f>
        <v>0</v>
      </c>
      <c r="D40" s="113">
        <f>D39</f>
        <v>0</v>
      </c>
      <c r="E40" s="113">
        <f>E39</f>
        <v>0</v>
      </c>
      <c r="F40" s="113">
        <f>F39</f>
        <v>0</v>
      </c>
      <c r="G40" s="113">
        <f>G39</f>
        <v>0</v>
      </c>
      <c r="H40" s="69">
        <f>G39</f>
        <v>0</v>
      </c>
      <c r="I40" s="113">
        <f>I39</f>
        <v>0</v>
      </c>
      <c r="J40" s="113">
        <f>J39</f>
        <v>0</v>
      </c>
      <c r="K40" s="113">
        <f>K39</f>
        <v>0</v>
      </c>
      <c r="L40" s="113">
        <f>L39</f>
        <v>0</v>
      </c>
      <c r="M40" s="69">
        <f>L39</f>
        <v>0</v>
      </c>
    </row>
    <row r="41" spans="1:13" ht="12.75" customHeight="1" x14ac:dyDescent="0.2">
      <c r="A41" s="114" t="str">
        <f>"   "&amp;Labels!B183</f>
        <v xml:space="preserve">   Canoes</v>
      </c>
      <c r="B41" s="113"/>
      <c r="C41" s="69"/>
      <c r="D41" s="113"/>
      <c r="E41" s="113"/>
      <c r="F41" s="113"/>
      <c r="G41" s="113"/>
      <c r="H41" s="69"/>
      <c r="I41" s="113"/>
      <c r="J41" s="113"/>
      <c r="K41" s="113"/>
      <c r="L41" s="113"/>
      <c r="M41" s="69"/>
    </row>
    <row r="42" spans="1:13" ht="12.75" customHeight="1" x14ac:dyDescent="0.2">
      <c r="A42" s="144" t="str">
        <f>"      "&amp;Labels!B174</f>
        <v xml:space="preserve">      Product 1</v>
      </c>
      <c r="B42" s="116"/>
      <c r="C42" s="69">
        <f>B42</f>
        <v>0</v>
      </c>
      <c r="D42" s="116">
        <f>Inputs!E41*Inputs!E68</f>
        <v>0</v>
      </c>
      <c r="E42" s="116">
        <f>Inputs!E41*Inputs!F68</f>
        <v>0</v>
      </c>
      <c r="F42" s="116">
        <f>Inputs!E41*Inputs!G68</f>
        <v>0</v>
      </c>
      <c r="G42" s="116">
        <f>Inputs!E41*Inputs!H68</f>
        <v>0</v>
      </c>
      <c r="H42" s="69">
        <f>G42</f>
        <v>0</v>
      </c>
      <c r="I42" s="116">
        <f>Inputs!E41*Inputs!J68</f>
        <v>0</v>
      </c>
      <c r="J42" s="116">
        <f>Inputs!E41*Inputs!K68</f>
        <v>0</v>
      </c>
      <c r="K42" s="116">
        <f>Inputs!E41*Inputs!L68</f>
        <v>0</v>
      </c>
      <c r="L42" s="116">
        <f>Inputs!E41*Inputs!M68</f>
        <v>0</v>
      </c>
      <c r="M42" s="69">
        <f>L42</f>
        <v>0</v>
      </c>
    </row>
    <row r="43" spans="1:13" ht="12.75" customHeight="1" x14ac:dyDescent="0.2">
      <c r="A43" s="114" t="str">
        <f>"      "&amp;Labels!C173</f>
        <v xml:space="preserve">      Total</v>
      </c>
      <c r="B43" s="113">
        <f>B42</f>
        <v>0</v>
      </c>
      <c r="C43" s="69">
        <f>B42</f>
        <v>0</v>
      </c>
      <c r="D43" s="113">
        <f>D42</f>
        <v>0</v>
      </c>
      <c r="E43" s="113">
        <f>E42</f>
        <v>0</v>
      </c>
      <c r="F43" s="113">
        <f>F42</f>
        <v>0</v>
      </c>
      <c r="G43" s="113">
        <f>G42</f>
        <v>0</v>
      </c>
      <c r="H43" s="69">
        <f>G42</f>
        <v>0</v>
      </c>
      <c r="I43" s="113">
        <f>I42</f>
        <v>0</v>
      </c>
      <c r="J43" s="113">
        <f>J42</f>
        <v>0</v>
      </c>
      <c r="K43" s="113">
        <f>K42</f>
        <v>0</v>
      </c>
      <c r="L43" s="113">
        <f>L42</f>
        <v>0</v>
      </c>
      <c r="M43" s="69">
        <f>L42</f>
        <v>0</v>
      </c>
    </row>
    <row r="44" spans="1:13" ht="12.75" customHeight="1" x14ac:dyDescent="0.2">
      <c r="A44" s="117" t="str">
        <f>"   "&amp;Labels!C181</f>
        <v xml:space="preserve">   Total</v>
      </c>
      <c r="B44" s="120">
        <f>SUM(B40,B43)</f>
        <v>0</v>
      </c>
      <c r="C44" s="69">
        <f>SUM(B40,B43)</f>
        <v>0</v>
      </c>
      <c r="D44" s="120">
        <f>SUM(D40,D43)</f>
        <v>0</v>
      </c>
      <c r="E44" s="120">
        <f>SUM(E40,E43)</f>
        <v>0</v>
      </c>
      <c r="F44" s="120">
        <f>SUM(F40,F43)</f>
        <v>0</v>
      </c>
      <c r="G44" s="120">
        <f>SUM(G40,G43)</f>
        <v>0</v>
      </c>
      <c r="H44" s="69">
        <f>SUM(G40,G43)</f>
        <v>0</v>
      </c>
      <c r="I44" s="120">
        <f>SUM(I40,I43)</f>
        <v>0</v>
      </c>
      <c r="J44" s="120">
        <f>SUM(J40,J43)</f>
        <v>0</v>
      </c>
      <c r="K44" s="120">
        <f>SUM(K40,K43)</f>
        <v>0</v>
      </c>
      <c r="L44" s="120">
        <f>SUM(L40,L43)</f>
        <v>0</v>
      </c>
      <c r="M44" s="69">
        <f>SUM(L40,L43)</f>
        <v>0</v>
      </c>
    </row>
    <row r="45" spans="1:13" ht="12.75" customHeight="1" x14ac:dyDescent="0.2">
      <c r="A45" s="144" t="str">
        <f>"      "&amp;Labels!B174</f>
        <v xml:space="preserve">      Product 1</v>
      </c>
      <c r="B45" s="116">
        <f>SUM(B39,B42)</f>
        <v>0</v>
      </c>
      <c r="C45" s="69">
        <f>SUM(B39,B42)</f>
        <v>0</v>
      </c>
      <c r="D45" s="116">
        <f t="shared" ref="D45:G46" si="8">SUM(D39,D42)</f>
        <v>0</v>
      </c>
      <c r="E45" s="116">
        <f t="shared" si="8"/>
        <v>0</v>
      </c>
      <c r="F45" s="116">
        <f t="shared" si="8"/>
        <v>0</v>
      </c>
      <c r="G45" s="116">
        <f t="shared" si="8"/>
        <v>0</v>
      </c>
      <c r="H45" s="69">
        <f>SUM(G39,G42)</f>
        <v>0</v>
      </c>
      <c r="I45" s="116">
        <f t="shared" ref="I45:L46" si="9">SUM(I39,I42)</f>
        <v>0</v>
      </c>
      <c r="J45" s="116">
        <f t="shared" si="9"/>
        <v>0</v>
      </c>
      <c r="K45" s="116">
        <f t="shared" si="9"/>
        <v>0</v>
      </c>
      <c r="L45" s="116">
        <f t="shared" si="9"/>
        <v>0</v>
      </c>
      <c r="M45" s="69">
        <f>SUM(L39,L42)</f>
        <v>0</v>
      </c>
    </row>
    <row r="46" spans="1:13" ht="12.75" customHeight="1" x14ac:dyDescent="0.2">
      <c r="A46" s="114" t="str">
        <f>"      "&amp;Labels!C173</f>
        <v xml:space="preserve">      Total</v>
      </c>
      <c r="B46" s="113">
        <f>SUM(B40,B43)</f>
        <v>0</v>
      </c>
      <c r="C46" s="69">
        <f>SUM(B40,B43)</f>
        <v>0</v>
      </c>
      <c r="D46" s="113">
        <f t="shared" si="8"/>
        <v>0</v>
      </c>
      <c r="E46" s="113">
        <f t="shared" si="8"/>
        <v>0</v>
      </c>
      <c r="F46" s="113">
        <f t="shared" si="8"/>
        <v>0</v>
      </c>
      <c r="G46" s="113">
        <f t="shared" si="8"/>
        <v>0</v>
      </c>
      <c r="H46" s="69">
        <f>SUM(G40,G43)</f>
        <v>0</v>
      </c>
      <c r="I46" s="113">
        <f t="shared" si="9"/>
        <v>0</v>
      </c>
      <c r="J46" s="113">
        <f t="shared" si="9"/>
        <v>0</v>
      </c>
      <c r="K46" s="113">
        <f t="shared" si="9"/>
        <v>0</v>
      </c>
      <c r="L46" s="113">
        <f t="shared" si="9"/>
        <v>0</v>
      </c>
      <c r="M46" s="69">
        <f>SUM(L40,L43)</f>
        <v>0</v>
      </c>
    </row>
    <row r="47" spans="1:13" ht="12.75" customHeight="1" x14ac:dyDescent="0.2">
      <c r="A47" s="117" t="str">
        <f>Labels!B191</f>
        <v>Supplies inventory</v>
      </c>
      <c r="B47" s="120"/>
      <c r="C47" s="69"/>
      <c r="D47" s="120"/>
      <c r="E47" s="120"/>
      <c r="F47" s="120"/>
      <c r="G47" s="120"/>
      <c r="H47" s="69"/>
      <c r="I47" s="120"/>
      <c r="J47" s="120"/>
      <c r="K47" s="120"/>
      <c r="L47" s="120"/>
      <c r="M47" s="69"/>
    </row>
    <row r="48" spans="1:13" ht="12.75" customHeight="1" x14ac:dyDescent="0.2">
      <c r="A48" s="114" t="str">
        <f>"   "&amp;Labels!B182</f>
        <v xml:space="preserve">   Catamarans</v>
      </c>
      <c r="B48" s="113"/>
      <c r="C48" s="69"/>
      <c r="D48" s="113"/>
      <c r="E48" s="113"/>
      <c r="F48" s="113"/>
      <c r="G48" s="113"/>
      <c r="H48" s="69"/>
      <c r="I48" s="113"/>
      <c r="J48" s="113"/>
      <c r="K48" s="113"/>
      <c r="L48" s="113"/>
      <c r="M48" s="69"/>
    </row>
    <row r="49" spans="1:13" ht="12.75" customHeight="1" x14ac:dyDescent="0.2">
      <c r="A49" s="144" t="str">
        <f>"      "&amp;Labels!B174</f>
        <v xml:space="preserve">      Product 1</v>
      </c>
      <c r="B49" s="116"/>
      <c r="C49" s="69">
        <f>B49</f>
        <v>0</v>
      </c>
      <c r="D49" s="116">
        <f>Inputs!F40*Inputs!E67</f>
        <v>0</v>
      </c>
      <c r="E49" s="116">
        <f>Inputs!F40*Inputs!F67</f>
        <v>0</v>
      </c>
      <c r="F49" s="116">
        <f>Inputs!F40*Inputs!G67</f>
        <v>0</v>
      </c>
      <c r="G49" s="116">
        <f>Inputs!F40*Inputs!H67</f>
        <v>0</v>
      </c>
      <c r="H49" s="69">
        <f>G49</f>
        <v>0</v>
      </c>
      <c r="I49" s="116">
        <f>Inputs!F40*Inputs!J67</f>
        <v>0</v>
      </c>
      <c r="J49" s="116">
        <f>Inputs!F40*Inputs!K67</f>
        <v>0</v>
      </c>
      <c r="K49" s="116">
        <f>Inputs!F40*Inputs!L67</f>
        <v>0</v>
      </c>
      <c r="L49" s="116">
        <f>Inputs!F40*Inputs!M67</f>
        <v>0</v>
      </c>
      <c r="M49" s="69">
        <f>L49</f>
        <v>0</v>
      </c>
    </row>
    <row r="50" spans="1:13" ht="12.75" customHeight="1" x14ac:dyDescent="0.2">
      <c r="A50" s="114" t="str">
        <f>"      "&amp;Labels!C173</f>
        <v xml:space="preserve">      Total</v>
      </c>
      <c r="B50" s="113">
        <f>B49</f>
        <v>0</v>
      </c>
      <c r="C50" s="69">
        <f>B49</f>
        <v>0</v>
      </c>
      <c r="D50" s="113">
        <f>D49</f>
        <v>0</v>
      </c>
      <c r="E50" s="113">
        <f>E49</f>
        <v>0</v>
      </c>
      <c r="F50" s="113">
        <f>F49</f>
        <v>0</v>
      </c>
      <c r="G50" s="113">
        <f>G49</f>
        <v>0</v>
      </c>
      <c r="H50" s="69">
        <f>G49</f>
        <v>0</v>
      </c>
      <c r="I50" s="113">
        <f>I49</f>
        <v>0</v>
      </c>
      <c r="J50" s="113">
        <f>J49</f>
        <v>0</v>
      </c>
      <c r="K50" s="113">
        <f>K49</f>
        <v>0</v>
      </c>
      <c r="L50" s="113">
        <f>L49</f>
        <v>0</v>
      </c>
      <c r="M50" s="69">
        <f>L49</f>
        <v>0</v>
      </c>
    </row>
    <row r="51" spans="1:13" ht="12.75" customHeight="1" x14ac:dyDescent="0.2">
      <c r="A51" s="114" t="str">
        <f>"   "&amp;Labels!B183</f>
        <v xml:space="preserve">   Canoes</v>
      </c>
      <c r="B51" s="113"/>
      <c r="C51" s="69"/>
      <c r="D51" s="113"/>
      <c r="E51" s="113"/>
      <c r="F51" s="113"/>
      <c r="G51" s="113"/>
      <c r="H51" s="69"/>
      <c r="I51" s="113"/>
      <c r="J51" s="113"/>
      <c r="K51" s="113"/>
      <c r="L51" s="113"/>
      <c r="M51" s="69"/>
    </row>
    <row r="52" spans="1:13" ht="12.75" customHeight="1" x14ac:dyDescent="0.2">
      <c r="A52" s="144" t="str">
        <f>"      "&amp;Labels!B174</f>
        <v xml:space="preserve">      Product 1</v>
      </c>
      <c r="B52" s="116"/>
      <c r="C52" s="69">
        <f>B52</f>
        <v>0</v>
      </c>
      <c r="D52" s="116">
        <f>Inputs!F41*Inputs!E68</f>
        <v>0</v>
      </c>
      <c r="E52" s="116">
        <f>Inputs!F41*Inputs!F68</f>
        <v>0</v>
      </c>
      <c r="F52" s="116">
        <f>Inputs!F41*Inputs!G68</f>
        <v>0</v>
      </c>
      <c r="G52" s="116">
        <f>Inputs!F41*Inputs!H68</f>
        <v>0</v>
      </c>
      <c r="H52" s="69">
        <f>G52</f>
        <v>0</v>
      </c>
      <c r="I52" s="116">
        <f>Inputs!F41*Inputs!J68</f>
        <v>0</v>
      </c>
      <c r="J52" s="116">
        <f>Inputs!F41*Inputs!K68</f>
        <v>0</v>
      </c>
      <c r="K52" s="116">
        <f>Inputs!F41*Inputs!L68</f>
        <v>0</v>
      </c>
      <c r="L52" s="116">
        <f>Inputs!F41*Inputs!M68</f>
        <v>0</v>
      </c>
      <c r="M52" s="69">
        <f>L52</f>
        <v>0</v>
      </c>
    </row>
    <row r="53" spans="1:13" ht="12.75" customHeight="1" x14ac:dyDescent="0.2">
      <c r="A53" s="114" t="str">
        <f>"      "&amp;Labels!C173</f>
        <v xml:space="preserve">      Total</v>
      </c>
      <c r="B53" s="113">
        <f>B52</f>
        <v>0</v>
      </c>
      <c r="C53" s="69">
        <f>B52</f>
        <v>0</v>
      </c>
      <c r="D53" s="113">
        <f>D52</f>
        <v>0</v>
      </c>
      <c r="E53" s="113">
        <f>E52</f>
        <v>0</v>
      </c>
      <c r="F53" s="113">
        <f>F52</f>
        <v>0</v>
      </c>
      <c r="G53" s="113">
        <f>G52</f>
        <v>0</v>
      </c>
      <c r="H53" s="69">
        <f>G52</f>
        <v>0</v>
      </c>
      <c r="I53" s="113">
        <f>I52</f>
        <v>0</v>
      </c>
      <c r="J53" s="113">
        <f>J52</f>
        <v>0</v>
      </c>
      <c r="K53" s="113">
        <f>K52</f>
        <v>0</v>
      </c>
      <c r="L53" s="113">
        <f>L52</f>
        <v>0</v>
      </c>
      <c r="M53" s="69">
        <f>L52</f>
        <v>0</v>
      </c>
    </row>
    <row r="54" spans="1:13" ht="12.75" customHeight="1" x14ac:dyDescent="0.2">
      <c r="A54" s="117" t="str">
        <f>"   "&amp;Labels!C181</f>
        <v xml:space="preserve">   Total</v>
      </c>
      <c r="B54" s="120">
        <f>SUM(B50,B53)</f>
        <v>0</v>
      </c>
      <c r="C54" s="69">
        <f>SUM(B50,B53)</f>
        <v>0</v>
      </c>
      <c r="D54" s="120">
        <f>SUM(D50,D53)</f>
        <v>0</v>
      </c>
      <c r="E54" s="120">
        <f>SUM(E50,E53)</f>
        <v>0</v>
      </c>
      <c r="F54" s="120">
        <f>SUM(F50,F53)</f>
        <v>0</v>
      </c>
      <c r="G54" s="120">
        <f>SUM(G50,G53)</f>
        <v>0</v>
      </c>
      <c r="H54" s="69">
        <f>SUM(G50,G53)</f>
        <v>0</v>
      </c>
      <c r="I54" s="120">
        <f>SUM(I50,I53)</f>
        <v>0</v>
      </c>
      <c r="J54" s="120">
        <f>SUM(J50,J53)</f>
        <v>0</v>
      </c>
      <c r="K54" s="120">
        <f>SUM(K50,K53)</f>
        <v>0</v>
      </c>
      <c r="L54" s="120">
        <f>SUM(L50,L53)</f>
        <v>0</v>
      </c>
      <c r="M54" s="69">
        <f>SUM(L50,L53)</f>
        <v>0</v>
      </c>
    </row>
    <row r="55" spans="1:13" ht="12.75" customHeight="1" x14ac:dyDescent="0.2">
      <c r="A55" s="144" t="str">
        <f>"      "&amp;Labels!B174</f>
        <v xml:space="preserve">      Product 1</v>
      </c>
      <c r="B55" s="116">
        <f>SUM(B49,B52)</f>
        <v>0</v>
      </c>
      <c r="C55" s="69">
        <f>SUM(B49,B52)</f>
        <v>0</v>
      </c>
      <c r="D55" s="116">
        <f t="shared" ref="D55:G56" si="10">SUM(D49,D52)</f>
        <v>0</v>
      </c>
      <c r="E55" s="116">
        <f t="shared" si="10"/>
        <v>0</v>
      </c>
      <c r="F55" s="116">
        <f t="shared" si="10"/>
        <v>0</v>
      </c>
      <c r="G55" s="116">
        <f t="shared" si="10"/>
        <v>0</v>
      </c>
      <c r="H55" s="69">
        <f>SUM(G49,G52)</f>
        <v>0</v>
      </c>
      <c r="I55" s="116">
        <f t="shared" ref="I55:L56" si="11">SUM(I49,I52)</f>
        <v>0</v>
      </c>
      <c r="J55" s="116">
        <f t="shared" si="11"/>
        <v>0</v>
      </c>
      <c r="K55" s="116">
        <f t="shared" si="11"/>
        <v>0</v>
      </c>
      <c r="L55" s="116">
        <f t="shared" si="11"/>
        <v>0</v>
      </c>
      <c r="M55" s="69">
        <f>SUM(L49,L52)</f>
        <v>0</v>
      </c>
    </row>
    <row r="56" spans="1:13" ht="12.75" customHeight="1" x14ac:dyDescent="0.2">
      <c r="A56" s="114" t="str">
        <f>"      "&amp;Labels!C173</f>
        <v xml:space="preserve">      Total</v>
      </c>
      <c r="B56" s="113">
        <f>SUM(B50,B53)</f>
        <v>0</v>
      </c>
      <c r="C56" s="69">
        <f>SUM(B50,B53)</f>
        <v>0</v>
      </c>
      <c r="D56" s="113">
        <f t="shared" si="10"/>
        <v>0</v>
      </c>
      <c r="E56" s="113">
        <f t="shared" si="10"/>
        <v>0</v>
      </c>
      <c r="F56" s="113">
        <f t="shared" si="10"/>
        <v>0</v>
      </c>
      <c r="G56" s="113">
        <f t="shared" si="10"/>
        <v>0</v>
      </c>
      <c r="H56" s="69">
        <f>SUM(G50,G53)</f>
        <v>0</v>
      </c>
      <c r="I56" s="113">
        <f t="shared" si="11"/>
        <v>0</v>
      </c>
      <c r="J56" s="113">
        <f t="shared" si="11"/>
        <v>0</v>
      </c>
      <c r="K56" s="113">
        <f t="shared" si="11"/>
        <v>0</v>
      </c>
      <c r="L56" s="113">
        <f t="shared" si="11"/>
        <v>0</v>
      </c>
      <c r="M56" s="69">
        <f>SUM(L50,L53)</f>
        <v>0</v>
      </c>
    </row>
    <row r="57" spans="1:13" ht="12.75" customHeight="1" x14ac:dyDescent="0.2">
      <c r="A57" s="12" t="str">
        <f>Labels!C189</f>
        <v>Total</v>
      </c>
      <c r="B57" s="107">
        <f>SUM(B44,B54)</f>
        <v>0</v>
      </c>
      <c r="C57" s="108">
        <f>SUM(B44,B54)</f>
        <v>0</v>
      </c>
      <c r="D57" s="107">
        <f>SUM(D44,D54)</f>
        <v>0</v>
      </c>
      <c r="E57" s="107">
        <f>SUM(E44,E54)</f>
        <v>0</v>
      </c>
      <c r="F57" s="107">
        <f>SUM(F44,F54)</f>
        <v>0</v>
      </c>
      <c r="G57" s="107">
        <f>SUM(G44,G54)</f>
        <v>0</v>
      </c>
      <c r="H57" s="108">
        <f>SUM(G44,G54)</f>
        <v>0</v>
      </c>
      <c r="I57" s="107">
        <f>SUM(I44,I54)</f>
        <v>0</v>
      </c>
      <c r="J57" s="107">
        <f>SUM(J44,J54)</f>
        <v>0</v>
      </c>
      <c r="K57" s="107">
        <f>SUM(K44,K54)</f>
        <v>0</v>
      </c>
      <c r="L57" s="107">
        <f>SUM(L44,L54)</f>
        <v>0</v>
      </c>
      <c r="M57" s="108">
        <f>SUM(L44,L54)</f>
        <v>0</v>
      </c>
    </row>
    <row r="58" spans="1:13" ht="12.75" customHeight="1" x14ac:dyDescent="0.2">
      <c r="A58" s="114" t="str">
        <f>"   "&amp;Labels!B182</f>
        <v xml:space="preserve">   Catamarans</v>
      </c>
      <c r="B58" s="113"/>
      <c r="C58" s="69"/>
      <c r="D58" s="113"/>
      <c r="E58" s="113"/>
      <c r="F58" s="113"/>
      <c r="G58" s="113"/>
      <c r="H58" s="69"/>
      <c r="I58" s="113"/>
      <c r="J58" s="113"/>
      <c r="K58" s="113"/>
      <c r="L58" s="113"/>
      <c r="M58" s="69"/>
    </row>
    <row r="59" spans="1:13" ht="12.75" customHeight="1" x14ac:dyDescent="0.2">
      <c r="A59" s="144" t="str">
        <f>"      "&amp;Labels!B174</f>
        <v xml:space="preserve">      Product 1</v>
      </c>
      <c r="B59" s="116">
        <f>SUM(B39,B49)</f>
        <v>0</v>
      </c>
      <c r="C59" s="69">
        <f>SUM(B39,B49)</f>
        <v>0</v>
      </c>
      <c r="D59" s="116">
        <f t="shared" ref="D59:G60" si="12">SUM(D39,D49)</f>
        <v>0</v>
      </c>
      <c r="E59" s="116">
        <f t="shared" si="12"/>
        <v>0</v>
      </c>
      <c r="F59" s="116">
        <f t="shared" si="12"/>
        <v>0</v>
      </c>
      <c r="G59" s="116">
        <f t="shared" si="12"/>
        <v>0</v>
      </c>
      <c r="H59" s="69">
        <f>SUM(G39,G49)</f>
        <v>0</v>
      </c>
      <c r="I59" s="116">
        <f t="shared" ref="I59:L60" si="13">SUM(I39,I49)</f>
        <v>0</v>
      </c>
      <c r="J59" s="116">
        <f t="shared" si="13"/>
        <v>0</v>
      </c>
      <c r="K59" s="116">
        <f t="shared" si="13"/>
        <v>0</v>
      </c>
      <c r="L59" s="116">
        <f t="shared" si="13"/>
        <v>0</v>
      </c>
      <c r="M59" s="69">
        <f>SUM(L39,L49)</f>
        <v>0</v>
      </c>
    </row>
    <row r="60" spans="1:13" ht="12.75" customHeight="1" x14ac:dyDescent="0.2">
      <c r="A60" s="114" t="str">
        <f>"      "&amp;Labels!C173</f>
        <v xml:space="preserve">      Total</v>
      </c>
      <c r="B60" s="113">
        <f>SUM(B40,B50)</f>
        <v>0</v>
      </c>
      <c r="C60" s="69">
        <f>SUM(B40,B50)</f>
        <v>0</v>
      </c>
      <c r="D60" s="113">
        <f t="shared" si="12"/>
        <v>0</v>
      </c>
      <c r="E60" s="113">
        <f t="shared" si="12"/>
        <v>0</v>
      </c>
      <c r="F60" s="113">
        <f t="shared" si="12"/>
        <v>0</v>
      </c>
      <c r="G60" s="113">
        <f t="shared" si="12"/>
        <v>0</v>
      </c>
      <c r="H60" s="69">
        <f>SUM(G40,G50)</f>
        <v>0</v>
      </c>
      <c r="I60" s="113">
        <f t="shared" si="13"/>
        <v>0</v>
      </c>
      <c r="J60" s="113">
        <f t="shared" si="13"/>
        <v>0</v>
      </c>
      <c r="K60" s="113">
        <f t="shared" si="13"/>
        <v>0</v>
      </c>
      <c r="L60" s="113">
        <f t="shared" si="13"/>
        <v>0</v>
      </c>
      <c r="M60" s="69">
        <f>SUM(L40,L50)</f>
        <v>0</v>
      </c>
    </row>
    <row r="61" spans="1:13" ht="12.75" customHeight="1" x14ac:dyDescent="0.2">
      <c r="A61" s="114" t="str">
        <f>"   "&amp;Labels!B183</f>
        <v xml:space="preserve">   Canoes</v>
      </c>
      <c r="B61" s="113"/>
      <c r="C61" s="69"/>
      <c r="D61" s="113"/>
      <c r="E61" s="113"/>
      <c r="F61" s="113"/>
      <c r="G61" s="113"/>
      <c r="H61" s="69"/>
      <c r="I61" s="113"/>
      <c r="J61" s="113"/>
      <c r="K61" s="113"/>
      <c r="L61" s="113"/>
      <c r="M61" s="69"/>
    </row>
    <row r="62" spans="1:13" ht="12.75" customHeight="1" x14ac:dyDescent="0.2">
      <c r="A62" s="144" t="str">
        <f>"      "&amp;Labels!B174</f>
        <v xml:space="preserve">      Product 1</v>
      </c>
      <c r="B62" s="116">
        <f>SUM(B42,B52)</f>
        <v>0</v>
      </c>
      <c r="C62" s="69">
        <f>SUM(B42,B52)</f>
        <v>0</v>
      </c>
      <c r="D62" s="116">
        <f t="shared" ref="D62:G65" si="14">SUM(D42,D52)</f>
        <v>0</v>
      </c>
      <c r="E62" s="116">
        <f t="shared" si="14"/>
        <v>0</v>
      </c>
      <c r="F62" s="116">
        <f t="shared" si="14"/>
        <v>0</v>
      </c>
      <c r="G62" s="116">
        <f t="shared" si="14"/>
        <v>0</v>
      </c>
      <c r="H62" s="69">
        <f>SUM(G42,G52)</f>
        <v>0</v>
      </c>
      <c r="I62" s="116">
        <f t="shared" ref="I62:L65" si="15">SUM(I42,I52)</f>
        <v>0</v>
      </c>
      <c r="J62" s="116">
        <f t="shared" si="15"/>
        <v>0</v>
      </c>
      <c r="K62" s="116">
        <f t="shared" si="15"/>
        <v>0</v>
      </c>
      <c r="L62" s="116">
        <f t="shared" si="15"/>
        <v>0</v>
      </c>
      <c r="M62" s="69">
        <f>SUM(L42,L52)</f>
        <v>0</v>
      </c>
    </row>
    <row r="63" spans="1:13" ht="12.75" customHeight="1" x14ac:dyDescent="0.2">
      <c r="A63" s="114" t="str">
        <f>"      "&amp;Labels!C173</f>
        <v xml:space="preserve">      Total</v>
      </c>
      <c r="B63" s="113">
        <f>SUM(B43,B53)</f>
        <v>0</v>
      </c>
      <c r="C63" s="69">
        <f>SUM(B43,B53)</f>
        <v>0</v>
      </c>
      <c r="D63" s="113">
        <f t="shared" si="14"/>
        <v>0</v>
      </c>
      <c r="E63" s="113">
        <f t="shared" si="14"/>
        <v>0</v>
      </c>
      <c r="F63" s="113">
        <f t="shared" si="14"/>
        <v>0</v>
      </c>
      <c r="G63" s="113">
        <f t="shared" si="14"/>
        <v>0</v>
      </c>
      <c r="H63" s="69">
        <f>SUM(G43,G53)</f>
        <v>0</v>
      </c>
      <c r="I63" s="113">
        <f t="shared" si="15"/>
        <v>0</v>
      </c>
      <c r="J63" s="113">
        <f t="shared" si="15"/>
        <v>0</v>
      </c>
      <c r="K63" s="113">
        <f t="shared" si="15"/>
        <v>0</v>
      </c>
      <c r="L63" s="113">
        <f t="shared" si="15"/>
        <v>0</v>
      </c>
      <c r="M63" s="69">
        <f>SUM(L43,L53)</f>
        <v>0</v>
      </c>
    </row>
    <row r="64" spans="1:13" ht="12.75" customHeight="1" x14ac:dyDescent="0.2">
      <c r="A64" s="117" t="str">
        <f>"   "&amp;Labels!C181</f>
        <v xml:space="preserve">   Total</v>
      </c>
      <c r="B64" s="120">
        <f>SUM(B44,B54)</f>
        <v>0</v>
      </c>
      <c r="C64" s="69">
        <f>SUM(B44,B54)</f>
        <v>0</v>
      </c>
      <c r="D64" s="120">
        <f t="shared" si="14"/>
        <v>0</v>
      </c>
      <c r="E64" s="120">
        <f t="shared" si="14"/>
        <v>0</v>
      </c>
      <c r="F64" s="120">
        <f t="shared" si="14"/>
        <v>0</v>
      </c>
      <c r="G64" s="120">
        <f t="shared" si="14"/>
        <v>0</v>
      </c>
      <c r="H64" s="69">
        <f>SUM(G44,G54)</f>
        <v>0</v>
      </c>
      <c r="I64" s="120">
        <f t="shared" si="15"/>
        <v>0</v>
      </c>
      <c r="J64" s="120">
        <f t="shared" si="15"/>
        <v>0</v>
      </c>
      <c r="K64" s="120">
        <f t="shared" si="15"/>
        <v>0</v>
      </c>
      <c r="L64" s="120">
        <f t="shared" si="15"/>
        <v>0</v>
      </c>
      <c r="M64" s="69">
        <f>SUM(L44,L54)</f>
        <v>0</v>
      </c>
    </row>
    <row r="65" spans="1:13" ht="12.75" customHeight="1" x14ac:dyDescent="0.2">
      <c r="A65" s="144" t="str">
        <f>"      "&amp;Labels!B174</f>
        <v xml:space="preserve">      Product 1</v>
      </c>
      <c r="B65" s="116">
        <f>SUM(B45,B55)</f>
        <v>0</v>
      </c>
      <c r="C65" s="69">
        <f>SUM(B45,B55)</f>
        <v>0</v>
      </c>
      <c r="D65" s="116">
        <f t="shared" si="14"/>
        <v>0</v>
      </c>
      <c r="E65" s="116">
        <f t="shared" si="14"/>
        <v>0</v>
      </c>
      <c r="F65" s="116">
        <f t="shared" si="14"/>
        <v>0</v>
      </c>
      <c r="G65" s="116">
        <f t="shared" si="14"/>
        <v>0</v>
      </c>
      <c r="H65" s="69">
        <f>SUM(G45,G55)</f>
        <v>0</v>
      </c>
      <c r="I65" s="116">
        <f t="shared" si="15"/>
        <v>0</v>
      </c>
      <c r="J65" s="116">
        <f t="shared" si="15"/>
        <v>0</v>
      </c>
      <c r="K65" s="116">
        <f t="shared" si="15"/>
        <v>0</v>
      </c>
      <c r="L65" s="116">
        <f t="shared" si="15"/>
        <v>0</v>
      </c>
      <c r="M65" s="69">
        <f>SUM(L45,L55)</f>
        <v>0</v>
      </c>
    </row>
    <row r="66" spans="1:13" ht="12.75" customHeight="1" x14ac:dyDescent="0.2">
      <c r="A66" s="145" t="str">
        <f>"      "&amp;Labels!C173</f>
        <v xml:space="preserve">      Total</v>
      </c>
      <c r="B66" s="123">
        <f>SUM(B44,B54)</f>
        <v>0</v>
      </c>
      <c r="C66" s="70">
        <f>SUM(B44,B54)</f>
        <v>0</v>
      </c>
      <c r="D66" s="123">
        <f>SUM(D44,D54)</f>
        <v>0</v>
      </c>
      <c r="E66" s="123">
        <f>SUM(E44,E54)</f>
        <v>0</v>
      </c>
      <c r="F66" s="123">
        <f>SUM(F44,F54)</f>
        <v>0</v>
      </c>
      <c r="G66" s="123">
        <f>SUM(G44,G54)</f>
        <v>0</v>
      </c>
      <c r="H66" s="70">
        <f>SUM(G44,G54)</f>
        <v>0</v>
      </c>
      <c r="I66" s="123">
        <f>SUM(I44,I54)</f>
        <v>0</v>
      </c>
      <c r="J66" s="123">
        <f>SUM(J44,J54)</f>
        <v>0</v>
      </c>
      <c r="K66" s="123">
        <f>SUM(K44,K54)</f>
        <v>0</v>
      </c>
      <c r="L66" s="123">
        <f>SUM(L44,L54)</f>
        <v>0</v>
      </c>
      <c r="M66" s="70">
        <f>SUM(L44,L54)</f>
        <v>0</v>
      </c>
    </row>
    <row r="67" spans="1:13" ht="12.75" customHeight="1" x14ac:dyDescent="0.2">
      <c r="A67" s="1" t="str">
        <f>"Capital_Average_1"</f>
        <v>Capital_Average_1</v>
      </c>
    </row>
    <row r="68" spans="1:13" ht="12.75" customHeight="1" x14ac:dyDescent="0.2">
      <c r="B68" s="17" t="str">
        <f>'(FnCalls 1)'!G7</f>
        <v>Q1 2011</v>
      </c>
      <c r="C68" s="18" t="str">
        <f>'(FnCalls 1)'!G8</f>
        <v>Q2 2011</v>
      </c>
      <c r="D68" s="18" t="str">
        <f>'(FnCalls 1)'!G9</f>
        <v>Q3 2011</v>
      </c>
      <c r="E68" s="18" t="str">
        <f>'(FnCalls 1)'!G10</f>
        <v>Q4 2011</v>
      </c>
      <c r="F68" s="62" t="str">
        <f>'(FnCalls 1)'!H7</f>
        <v>2011</v>
      </c>
      <c r="G68" s="18" t="str">
        <f>'(FnCalls 1)'!G11</f>
        <v>Q1 2012</v>
      </c>
      <c r="H68" s="18" t="str">
        <f>'(FnCalls 1)'!G12</f>
        <v>Q2 2012</v>
      </c>
      <c r="I68" s="18" t="str">
        <f>'(FnCalls 1)'!G13</f>
        <v>Q3 2012</v>
      </c>
      <c r="J68" s="18" t="str">
        <f>'(FnCalls 1)'!G14</f>
        <v>Q4 2012</v>
      </c>
      <c r="K68" s="62" t="str">
        <f>'(FnCalls 1)'!H11</f>
        <v>2012</v>
      </c>
    </row>
    <row r="69" spans="1:13" ht="12.75" customHeight="1" x14ac:dyDescent="0.2">
      <c r="A69" s="111" t="str">
        <f>Labels!B182</f>
        <v>Catamarans</v>
      </c>
      <c r="B69" s="110"/>
      <c r="C69" s="110"/>
      <c r="D69" s="110"/>
      <c r="E69" s="110"/>
      <c r="F69" s="75"/>
      <c r="G69" s="110"/>
      <c r="H69" s="110"/>
      <c r="I69" s="110"/>
      <c r="J69" s="110"/>
      <c r="K69" s="75"/>
    </row>
    <row r="70" spans="1:13" ht="12.75" customHeight="1" x14ac:dyDescent="0.2">
      <c r="A70" s="114" t="str">
        <f>"   "&amp;Labels!B170</f>
        <v xml:space="preserve">   Invest 1</v>
      </c>
      <c r="B70" s="113">
        <f>0.5*Investment!B134</f>
        <v>0</v>
      </c>
      <c r="C70" s="113">
        <f>0.5*Investment!D134</f>
        <v>0</v>
      </c>
      <c r="D70" s="113">
        <f>0.5*Investment!E134</f>
        <v>0</v>
      </c>
      <c r="E70" s="113">
        <f>0.5*Investment!F134</f>
        <v>0</v>
      </c>
      <c r="F70" s="69">
        <f>AVERAGE(B70:E70)</f>
        <v>0</v>
      </c>
      <c r="G70" s="113">
        <f>0.5*Investment!G134</f>
        <v>0</v>
      </c>
      <c r="H70" s="113">
        <f>0.5*Investment!I134</f>
        <v>0</v>
      </c>
      <c r="I70" s="113">
        <f>0.5*Investment!J134</f>
        <v>0</v>
      </c>
      <c r="J70" s="113">
        <f>0.5*Investment!K134</f>
        <v>0</v>
      </c>
      <c r="K70" s="69">
        <f>AVERAGE(G70:J70)</f>
        <v>0</v>
      </c>
    </row>
    <row r="71" spans="1:13" ht="12.75" customHeight="1" x14ac:dyDescent="0.2">
      <c r="A71" s="114" t="str">
        <f>"   "&amp;Labels!B171</f>
        <v xml:space="preserve">   Invest 2</v>
      </c>
      <c r="B71" s="113">
        <f>0.5*Investment!B135</f>
        <v>0</v>
      </c>
      <c r="C71" s="113">
        <f>0.5*Investment!D135</f>
        <v>0</v>
      </c>
      <c r="D71" s="113">
        <f>0.5*Investment!E135</f>
        <v>0</v>
      </c>
      <c r="E71" s="113">
        <f>0.5*Investment!F135</f>
        <v>0</v>
      </c>
      <c r="F71" s="69">
        <f>AVERAGE(B71:E71)</f>
        <v>0</v>
      </c>
      <c r="G71" s="113">
        <f>0.5*Investment!G135</f>
        <v>0</v>
      </c>
      <c r="H71" s="113">
        <f>0.5*Investment!I135</f>
        <v>0</v>
      </c>
      <c r="I71" s="113">
        <f>0.5*Investment!J135</f>
        <v>0</v>
      </c>
      <c r="J71" s="113">
        <f>0.5*Investment!K135</f>
        <v>0</v>
      </c>
      <c r="K71" s="69">
        <f>AVERAGE(G71:J71)</f>
        <v>0</v>
      </c>
    </row>
    <row r="72" spans="1:13" ht="12.75" customHeight="1" x14ac:dyDescent="0.2">
      <c r="A72" s="117" t="str">
        <f>"   "&amp;Labels!C169</f>
        <v xml:space="preserve">   Total</v>
      </c>
      <c r="B72" s="120">
        <f>SUM(B70:B71)</f>
        <v>0</v>
      </c>
      <c r="C72" s="120">
        <f>SUM(C70:C71)</f>
        <v>0</v>
      </c>
      <c r="D72" s="120">
        <f>SUM(D70:D71)</f>
        <v>0</v>
      </c>
      <c r="E72" s="120">
        <f>SUM(E70:E71)</f>
        <v>0</v>
      </c>
      <c r="F72" s="69">
        <f>AVERAGE(B72:E72)</f>
        <v>0</v>
      </c>
      <c r="G72" s="120">
        <f>SUM(G70:G71)</f>
        <v>0</v>
      </c>
      <c r="H72" s="120">
        <f>SUM(H70:H71)</f>
        <v>0</v>
      </c>
      <c r="I72" s="120">
        <f>SUM(I70:I71)</f>
        <v>0</v>
      </c>
      <c r="J72" s="120">
        <f>SUM(J70:J71)</f>
        <v>0</v>
      </c>
      <c r="K72" s="69">
        <f>AVERAGE(G72:J72)</f>
        <v>0</v>
      </c>
    </row>
    <row r="73" spans="1:13" ht="12.75" customHeight="1" x14ac:dyDescent="0.2">
      <c r="A73" s="117" t="str">
        <f>Labels!B183</f>
        <v>Canoes</v>
      </c>
      <c r="B73" s="120"/>
      <c r="C73" s="120"/>
      <c r="D73" s="120"/>
      <c r="E73" s="120"/>
      <c r="F73" s="69"/>
      <c r="G73" s="120"/>
      <c r="H73" s="120"/>
      <c r="I73" s="120"/>
      <c r="J73" s="120"/>
      <c r="K73" s="69"/>
    </row>
    <row r="74" spans="1:13" ht="12.75" customHeight="1" x14ac:dyDescent="0.2">
      <c r="A74" s="114" t="str">
        <f>"   "&amp;Labels!B170</f>
        <v xml:space="preserve">   Invest 1</v>
      </c>
      <c r="B74" s="113">
        <f>0.5*Investment!B138</f>
        <v>0</v>
      </c>
      <c r="C74" s="113">
        <f>0.5*Investment!D138</f>
        <v>0</v>
      </c>
      <c r="D74" s="113">
        <f>0.5*Investment!E138</f>
        <v>0</v>
      </c>
      <c r="E74" s="113">
        <f>0.5*Investment!F138</f>
        <v>0</v>
      </c>
      <c r="F74" s="69">
        <f t="shared" ref="F74:F79" si="16">AVERAGE(B74:E74)</f>
        <v>0</v>
      </c>
      <c r="G74" s="113">
        <f>0.5*Investment!G138</f>
        <v>0</v>
      </c>
      <c r="H74" s="113">
        <f>0.5*Investment!I138</f>
        <v>0</v>
      </c>
      <c r="I74" s="113">
        <f>0.5*Investment!J138</f>
        <v>0</v>
      </c>
      <c r="J74" s="113">
        <f>0.5*Investment!K138</f>
        <v>0</v>
      </c>
      <c r="K74" s="69">
        <f t="shared" ref="K74:K79" si="17">AVERAGE(G74:J74)</f>
        <v>0</v>
      </c>
    </row>
    <row r="75" spans="1:13" ht="12.75" customHeight="1" x14ac:dyDescent="0.2">
      <c r="A75" s="114" t="str">
        <f>"   "&amp;Labels!B171</f>
        <v xml:space="preserve">   Invest 2</v>
      </c>
      <c r="B75" s="113">
        <f>0.5*Investment!B139</f>
        <v>0</v>
      </c>
      <c r="C75" s="113">
        <f>0.5*Investment!D139</f>
        <v>0</v>
      </c>
      <c r="D75" s="113">
        <f>0.5*Investment!E139</f>
        <v>0</v>
      </c>
      <c r="E75" s="113">
        <f>0.5*Investment!F139</f>
        <v>0</v>
      </c>
      <c r="F75" s="69">
        <f t="shared" si="16"/>
        <v>0</v>
      </c>
      <c r="G75" s="113">
        <f>0.5*Investment!G139</f>
        <v>0</v>
      </c>
      <c r="H75" s="113">
        <f>0.5*Investment!I139</f>
        <v>0</v>
      </c>
      <c r="I75" s="113">
        <f>0.5*Investment!J139</f>
        <v>0</v>
      </c>
      <c r="J75" s="113">
        <f>0.5*Investment!K139</f>
        <v>0</v>
      </c>
      <c r="K75" s="69">
        <f t="shared" si="17"/>
        <v>0</v>
      </c>
    </row>
    <row r="76" spans="1:13" ht="12.75" customHeight="1" x14ac:dyDescent="0.2">
      <c r="A76" s="117" t="str">
        <f>"   "&amp;Labels!C169</f>
        <v xml:space="preserve">   Total</v>
      </c>
      <c r="B76" s="120">
        <f>SUM(B74:B75)</f>
        <v>0</v>
      </c>
      <c r="C76" s="120">
        <f>SUM(C74:C75)</f>
        <v>0</v>
      </c>
      <c r="D76" s="120">
        <f>SUM(D74:D75)</f>
        <v>0</v>
      </c>
      <c r="E76" s="120">
        <f>SUM(E74:E75)</f>
        <v>0</v>
      </c>
      <c r="F76" s="69">
        <f t="shared" si="16"/>
        <v>0</v>
      </c>
      <c r="G76" s="120">
        <f>SUM(G74:G75)</f>
        <v>0</v>
      </c>
      <c r="H76" s="120">
        <f>SUM(H74:H75)</f>
        <v>0</v>
      </c>
      <c r="I76" s="120">
        <f>SUM(I74:I75)</f>
        <v>0</v>
      </c>
      <c r="J76" s="120">
        <f>SUM(J74:J75)</f>
        <v>0</v>
      </c>
      <c r="K76" s="69">
        <f t="shared" si="17"/>
        <v>0</v>
      </c>
    </row>
    <row r="77" spans="1:13" ht="12.75" customHeight="1" x14ac:dyDescent="0.2">
      <c r="A77" s="12" t="str">
        <f>Labels!C181</f>
        <v>Total</v>
      </c>
      <c r="B77" s="107">
        <f>SUM(B72,B76)</f>
        <v>0</v>
      </c>
      <c r="C77" s="107">
        <f>SUM(C72,C76)</f>
        <v>0</v>
      </c>
      <c r="D77" s="107">
        <f>SUM(D72,D76)</f>
        <v>0</v>
      </c>
      <c r="E77" s="107">
        <f>SUM(E72,E76)</f>
        <v>0</v>
      </c>
      <c r="F77" s="108">
        <f t="shared" si="16"/>
        <v>0</v>
      </c>
      <c r="G77" s="107">
        <f>SUM(G72,G76)</f>
        <v>0</v>
      </c>
      <c r="H77" s="107">
        <f>SUM(H72,H76)</f>
        <v>0</v>
      </c>
      <c r="I77" s="107">
        <f>SUM(I72,I76)</f>
        <v>0</v>
      </c>
      <c r="J77" s="107">
        <f>SUM(J72,J76)</f>
        <v>0</v>
      </c>
      <c r="K77" s="108">
        <f t="shared" si="17"/>
        <v>0</v>
      </c>
    </row>
    <row r="78" spans="1:13" ht="12.75" customHeight="1" x14ac:dyDescent="0.2">
      <c r="A78" s="114" t="str">
        <f>"   "&amp;Labels!B170</f>
        <v xml:space="preserve">   Invest 1</v>
      </c>
      <c r="B78" s="113">
        <f t="shared" ref="B78:E80" si="18">SUM(B70,B74)</f>
        <v>0</v>
      </c>
      <c r="C78" s="113">
        <f t="shared" si="18"/>
        <v>0</v>
      </c>
      <c r="D78" s="113">
        <f t="shared" si="18"/>
        <v>0</v>
      </c>
      <c r="E78" s="113">
        <f t="shared" si="18"/>
        <v>0</v>
      </c>
      <c r="F78" s="69">
        <f t="shared" si="16"/>
        <v>0</v>
      </c>
      <c r="G78" s="113">
        <f t="shared" ref="G78:J80" si="19">SUM(G70,G74)</f>
        <v>0</v>
      </c>
      <c r="H78" s="113">
        <f t="shared" si="19"/>
        <v>0</v>
      </c>
      <c r="I78" s="113">
        <f t="shared" si="19"/>
        <v>0</v>
      </c>
      <c r="J78" s="113">
        <f t="shared" si="19"/>
        <v>0</v>
      </c>
      <c r="K78" s="69">
        <f t="shared" si="17"/>
        <v>0</v>
      </c>
    </row>
    <row r="79" spans="1:13" ht="12.75" customHeight="1" x14ac:dyDescent="0.2">
      <c r="A79" s="114" t="str">
        <f>"   "&amp;Labels!B171</f>
        <v xml:space="preserve">   Invest 2</v>
      </c>
      <c r="B79" s="113">
        <f t="shared" si="18"/>
        <v>0</v>
      </c>
      <c r="C79" s="113">
        <f t="shared" si="18"/>
        <v>0</v>
      </c>
      <c r="D79" s="113">
        <f t="shared" si="18"/>
        <v>0</v>
      </c>
      <c r="E79" s="113">
        <f t="shared" si="18"/>
        <v>0</v>
      </c>
      <c r="F79" s="69">
        <f t="shared" si="16"/>
        <v>0</v>
      </c>
      <c r="G79" s="113">
        <f t="shared" si="19"/>
        <v>0</v>
      </c>
      <c r="H79" s="113">
        <f t="shared" si="19"/>
        <v>0</v>
      </c>
      <c r="I79" s="113">
        <f t="shared" si="19"/>
        <v>0</v>
      </c>
      <c r="J79" s="113">
        <f t="shared" si="19"/>
        <v>0</v>
      </c>
      <c r="K79" s="69">
        <f t="shared" si="17"/>
        <v>0</v>
      </c>
    </row>
    <row r="80" spans="1:13" ht="12.75" customHeight="1" x14ac:dyDescent="0.2">
      <c r="A80" s="121" t="str">
        <f>"   "&amp;Labels!C169</f>
        <v xml:space="preserve">   Total</v>
      </c>
      <c r="B80" s="132">
        <f t="shared" si="18"/>
        <v>0</v>
      </c>
      <c r="C80" s="132">
        <f t="shared" si="18"/>
        <v>0</v>
      </c>
      <c r="D80" s="132">
        <f t="shared" si="18"/>
        <v>0</v>
      </c>
      <c r="E80" s="132">
        <f t="shared" si="18"/>
        <v>0</v>
      </c>
      <c r="F80" s="70">
        <f>AVERAGE(B77:E77)</f>
        <v>0</v>
      </c>
      <c r="G80" s="132">
        <f t="shared" si="19"/>
        <v>0</v>
      </c>
      <c r="H80" s="132">
        <f t="shared" si="19"/>
        <v>0</v>
      </c>
      <c r="I80" s="132">
        <f t="shared" si="19"/>
        <v>0</v>
      </c>
      <c r="J80" s="132">
        <f t="shared" si="19"/>
        <v>0</v>
      </c>
      <c r="K80" s="70">
        <f>AVERAGE(G77:J77)</f>
        <v>0</v>
      </c>
    </row>
    <row r="81" spans="1:11" ht="12.75" customHeight="1" x14ac:dyDescent="0.2">
      <c r="A81" s="1" t="str">
        <f>"Working_Cap_Amort_1"</f>
        <v>Working_Cap_Amort_1</v>
      </c>
    </row>
    <row r="82" spans="1:11" ht="12.75" customHeight="1" x14ac:dyDescent="0.2">
      <c r="B82" s="17" t="str">
        <f>'(FnCalls 1)'!G7</f>
        <v>Q1 2011</v>
      </c>
      <c r="C82" s="18" t="str">
        <f>'(FnCalls 1)'!G8</f>
        <v>Q2 2011</v>
      </c>
      <c r="D82" s="18" t="str">
        <f>'(FnCalls 1)'!G9</f>
        <v>Q3 2011</v>
      </c>
      <c r="E82" s="18" t="str">
        <f>'(FnCalls 1)'!G10</f>
        <v>Q4 2011</v>
      </c>
      <c r="F82" s="62" t="str">
        <f>'(FnCalls 1)'!H7</f>
        <v>2011</v>
      </c>
      <c r="G82" s="18" t="str">
        <f>'(FnCalls 1)'!G11</f>
        <v>Q1 2012</v>
      </c>
      <c r="H82" s="18" t="str">
        <f>'(FnCalls 1)'!G12</f>
        <v>Q2 2012</v>
      </c>
      <c r="I82" s="18" t="str">
        <f>'(FnCalls 1)'!G13</f>
        <v>Q3 2012</v>
      </c>
      <c r="J82" s="18" t="str">
        <f>'(FnCalls 1)'!G14</f>
        <v>Q4 2012</v>
      </c>
      <c r="K82" s="62" t="str">
        <f>'(FnCalls 1)'!H11</f>
        <v>2012</v>
      </c>
    </row>
    <row r="83" spans="1:11" ht="12.75" customHeight="1" x14ac:dyDescent="0.2">
      <c r="A83" s="111" t="str">
        <f>Labels!B182</f>
        <v>Catamarans</v>
      </c>
      <c r="B83" s="110"/>
      <c r="C83" s="110"/>
      <c r="D83" s="110"/>
      <c r="E83" s="110"/>
      <c r="F83" s="75"/>
      <c r="G83" s="110"/>
      <c r="H83" s="110"/>
      <c r="I83" s="110"/>
      <c r="J83" s="110"/>
      <c r="K83" s="75"/>
    </row>
    <row r="84" spans="1:11" ht="12.75" customHeight="1" x14ac:dyDescent="0.2">
      <c r="A84" s="114" t="str">
        <f>"   "&amp;Labels!B190</f>
        <v xml:space="preserve">   Receivables</v>
      </c>
      <c r="B84" s="113">
        <f>Investment!B71*1</f>
        <v>0</v>
      </c>
      <c r="C84" s="113">
        <f>Investment!D71*1</f>
        <v>0</v>
      </c>
      <c r="D84" s="113">
        <f>Investment!E71*1</f>
        <v>0</v>
      </c>
      <c r="E84" s="113">
        <f>Investment!F71*1</f>
        <v>0</v>
      </c>
      <c r="F84" s="69">
        <f>SUM(B84:E84)</f>
        <v>0</v>
      </c>
      <c r="G84" s="113">
        <f>Investment!G71*1</f>
        <v>0</v>
      </c>
      <c r="H84" s="113">
        <f>Investment!I71*1</f>
        <v>0</v>
      </c>
      <c r="I84" s="113">
        <f>Investment!J71*1</f>
        <v>0</v>
      </c>
      <c r="J84" s="113">
        <f>Investment!K71*1</f>
        <v>0</v>
      </c>
      <c r="K84" s="69">
        <f>SUM(G84:J84)</f>
        <v>0</v>
      </c>
    </row>
    <row r="85" spans="1:11" ht="12.75" customHeight="1" x14ac:dyDescent="0.2">
      <c r="A85" s="114" t="str">
        <f>"   "&amp;Labels!B191</f>
        <v xml:space="preserve">   Supplies inventory</v>
      </c>
      <c r="B85" s="113">
        <f>Investment!B72*1</f>
        <v>0</v>
      </c>
      <c r="C85" s="113">
        <f>Investment!D72*1</f>
        <v>0</v>
      </c>
      <c r="D85" s="113">
        <f>Investment!E72*1</f>
        <v>0</v>
      </c>
      <c r="E85" s="113">
        <f>Investment!F72*1</f>
        <v>0</v>
      </c>
      <c r="F85" s="69">
        <f>SUM(B85:E85)</f>
        <v>0</v>
      </c>
      <c r="G85" s="113">
        <f>Investment!G72*1</f>
        <v>0</v>
      </c>
      <c r="H85" s="113">
        <f>Investment!I72*1</f>
        <v>0</v>
      </c>
      <c r="I85" s="113">
        <f>Investment!J72*1</f>
        <v>0</v>
      </c>
      <c r="J85" s="113">
        <f>Investment!K72*1</f>
        <v>0</v>
      </c>
      <c r="K85" s="69">
        <f>SUM(G85:J85)</f>
        <v>0</v>
      </c>
    </row>
    <row r="86" spans="1:11" ht="12.75" customHeight="1" x14ac:dyDescent="0.2">
      <c r="A86" s="117" t="str">
        <f>"   "&amp;Labels!C189</f>
        <v xml:space="preserve">   Total</v>
      </c>
      <c r="B86" s="120">
        <f>SUM(B84:B85)</f>
        <v>0</v>
      </c>
      <c r="C86" s="120">
        <f>SUM(C84:C85)</f>
        <v>0</v>
      </c>
      <c r="D86" s="120">
        <f>SUM(D84:D85)</f>
        <v>0</v>
      </c>
      <c r="E86" s="120">
        <f>SUM(E84:E85)</f>
        <v>0</v>
      </c>
      <c r="F86" s="69">
        <f>SUM(B86:E86)</f>
        <v>0</v>
      </c>
      <c r="G86" s="120">
        <f>SUM(G84:G85)</f>
        <v>0</v>
      </c>
      <c r="H86" s="120">
        <f>SUM(H84:H85)</f>
        <v>0</v>
      </c>
      <c r="I86" s="120">
        <f>SUM(I84:I85)</f>
        <v>0</v>
      </c>
      <c r="J86" s="120">
        <f>SUM(J84:J85)</f>
        <v>0</v>
      </c>
      <c r="K86" s="69">
        <f>SUM(G86:J86)</f>
        <v>0</v>
      </c>
    </row>
    <row r="87" spans="1:11" ht="12.75" customHeight="1" x14ac:dyDescent="0.2">
      <c r="A87" s="117" t="str">
        <f>Labels!B183</f>
        <v>Canoes</v>
      </c>
      <c r="B87" s="120"/>
      <c r="C87" s="120"/>
      <c r="D87" s="120"/>
      <c r="E87" s="120"/>
      <c r="F87" s="69"/>
      <c r="G87" s="120"/>
      <c r="H87" s="120"/>
      <c r="I87" s="120"/>
      <c r="J87" s="120"/>
      <c r="K87" s="69"/>
    </row>
    <row r="88" spans="1:11" ht="12.75" customHeight="1" x14ac:dyDescent="0.2">
      <c r="A88" s="114" t="str">
        <f>"   "&amp;Labels!B190</f>
        <v xml:space="preserve">   Receivables</v>
      </c>
      <c r="B88" s="113">
        <f>Investment!B75*1</f>
        <v>0</v>
      </c>
      <c r="C88" s="113">
        <f>Investment!D75*1</f>
        <v>0</v>
      </c>
      <c r="D88" s="113">
        <f>Investment!E75*1</f>
        <v>0</v>
      </c>
      <c r="E88" s="113">
        <f>Investment!F75*1</f>
        <v>0</v>
      </c>
      <c r="F88" s="69">
        <f t="shared" ref="F88:F93" si="20">SUM(B88:E88)</f>
        <v>0</v>
      </c>
      <c r="G88" s="113">
        <f>Investment!G75*1</f>
        <v>0</v>
      </c>
      <c r="H88" s="113">
        <f>Investment!I75*1</f>
        <v>0</v>
      </c>
      <c r="I88" s="113">
        <f>Investment!J75*1</f>
        <v>0</v>
      </c>
      <c r="J88" s="113">
        <f>Investment!K75*1</f>
        <v>0</v>
      </c>
      <c r="K88" s="69">
        <f t="shared" ref="K88:K93" si="21">SUM(G88:J88)</f>
        <v>0</v>
      </c>
    </row>
    <row r="89" spans="1:11" ht="12.75" customHeight="1" x14ac:dyDescent="0.2">
      <c r="A89" s="114" t="str">
        <f>"   "&amp;Labels!B191</f>
        <v xml:space="preserve">   Supplies inventory</v>
      </c>
      <c r="B89" s="113">
        <f>Investment!B76*1</f>
        <v>0</v>
      </c>
      <c r="C89" s="113">
        <f>Investment!D76*1</f>
        <v>0</v>
      </c>
      <c r="D89" s="113">
        <f>Investment!E76*1</f>
        <v>0</v>
      </c>
      <c r="E89" s="113">
        <f>Investment!F76*1</f>
        <v>0</v>
      </c>
      <c r="F89" s="69">
        <f t="shared" si="20"/>
        <v>0</v>
      </c>
      <c r="G89" s="113">
        <f>Investment!G76*1</f>
        <v>0</v>
      </c>
      <c r="H89" s="113">
        <f>Investment!I76*1</f>
        <v>0</v>
      </c>
      <c r="I89" s="113">
        <f>Investment!J76*1</f>
        <v>0</v>
      </c>
      <c r="J89" s="113">
        <f>Investment!K76*1</f>
        <v>0</v>
      </c>
      <c r="K89" s="69">
        <f t="shared" si="21"/>
        <v>0</v>
      </c>
    </row>
    <row r="90" spans="1:11" ht="12.75" customHeight="1" x14ac:dyDescent="0.2">
      <c r="A90" s="117" t="str">
        <f>"   "&amp;Labels!C189</f>
        <v xml:space="preserve">   Total</v>
      </c>
      <c r="B90" s="120">
        <f>SUM(B88:B89)</f>
        <v>0</v>
      </c>
      <c r="C90" s="120">
        <f>SUM(C88:C89)</f>
        <v>0</v>
      </c>
      <c r="D90" s="120">
        <f>SUM(D88:D89)</f>
        <v>0</v>
      </c>
      <c r="E90" s="120">
        <f>SUM(E88:E89)</f>
        <v>0</v>
      </c>
      <c r="F90" s="69">
        <f t="shared" si="20"/>
        <v>0</v>
      </c>
      <c r="G90" s="120">
        <f>SUM(G88:G89)</f>
        <v>0</v>
      </c>
      <c r="H90" s="120">
        <f>SUM(H88:H89)</f>
        <v>0</v>
      </c>
      <c r="I90" s="120">
        <f>SUM(I88:I89)</f>
        <v>0</v>
      </c>
      <c r="J90" s="120">
        <f>SUM(J88:J89)</f>
        <v>0</v>
      </c>
      <c r="K90" s="69">
        <f t="shared" si="21"/>
        <v>0</v>
      </c>
    </row>
    <row r="91" spans="1:11" ht="12.75" customHeight="1" x14ac:dyDescent="0.2">
      <c r="A91" s="12" t="str">
        <f>Labels!C181</f>
        <v>Total</v>
      </c>
      <c r="B91" s="107">
        <f>SUM(B86,B90)</f>
        <v>0</v>
      </c>
      <c r="C91" s="107">
        <f>SUM(C86,C90)</f>
        <v>0</v>
      </c>
      <c r="D91" s="107">
        <f>SUM(D86,D90)</f>
        <v>0</v>
      </c>
      <c r="E91" s="107">
        <f>SUM(E86,E90)</f>
        <v>0</v>
      </c>
      <c r="F91" s="108">
        <f t="shared" si="20"/>
        <v>0</v>
      </c>
      <c r="G91" s="107">
        <f>SUM(G86,G90)</f>
        <v>0</v>
      </c>
      <c r="H91" s="107">
        <f>SUM(H86,H90)</f>
        <v>0</v>
      </c>
      <c r="I91" s="107">
        <f>SUM(I86,I90)</f>
        <v>0</v>
      </c>
      <c r="J91" s="107">
        <f>SUM(J86,J90)</f>
        <v>0</v>
      </c>
      <c r="K91" s="108">
        <f t="shared" si="21"/>
        <v>0</v>
      </c>
    </row>
    <row r="92" spans="1:11" ht="12.75" customHeight="1" x14ac:dyDescent="0.2">
      <c r="A92" s="114" t="str">
        <f>"   "&amp;Labels!B190</f>
        <v xml:space="preserve">   Receivables</v>
      </c>
      <c r="B92" s="113">
        <f t="shared" ref="B92:E94" si="22">SUM(B84,B88)</f>
        <v>0</v>
      </c>
      <c r="C92" s="113">
        <f t="shared" si="22"/>
        <v>0</v>
      </c>
      <c r="D92" s="113">
        <f t="shared" si="22"/>
        <v>0</v>
      </c>
      <c r="E92" s="113">
        <f t="shared" si="22"/>
        <v>0</v>
      </c>
      <c r="F92" s="69">
        <f t="shared" si="20"/>
        <v>0</v>
      </c>
      <c r="G92" s="113">
        <f t="shared" ref="G92:J94" si="23">SUM(G84,G88)</f>
        <v>0</v>
      </c>
      <c r="H92" s="113">
        <f t="shared" si="23"/>
        <v>0</v>
      </c>
      <c r="I92" s="113">
        <f t="shared" si="23"/>
        <v>0</v>
      </c>
      <c r="J92" s="113">
        <f t="shared" si="23"/>
        <v>0</v>
      </c>
      <c r="K92" s="69">
        <f t="shared" si="21"/>
        <v>0</v>
      </c>
    </row>
    <row r="93" spans="1:11" ht="12.75" customHeight="1" x14ac:dyDescent="0.2">
      <c r="A93" s="114" t="str">
        <f>"   "&amp;Labels!B191</f>
        <v xml:space="preserve">   Supplies inventory</v>
      </c>
      <c r="B93" s="113">
        <f t="shared" si="22"/>
        <v>0</v>
      </c>
      <c r="C93" s="113">
        <f t="shared" si="22"/>
        <v>0</v>
      </c>
      <c r="D93" s="113">
        <f t="shared" si="22"/>
        <v>0</v>
      </c>
      <c r="E93" s="113">
        <f t="shared" si="22"/>
        <v>0</v>
      </c>
      <c r="F93" s="69">
        <f t="shared" si="20"/>
        <v>0</v>
      </c>
      <c r="G93" s="113">
        <f t="shared" si="23"/>
        <v>0</v>
      </c>
      <c r="H93" s="113">
        <f t="shared" si="23"/>
        <v>0</v>
      </c>
      <c r="I93" s="113">
        <f t="shared" si="23"/>
        <v>0</v>
      </c>
      <c r="J93" s="113">
        <f t="shared" si="23"/>
        <v>0</v>
      </c>
      <c r="K93" s="69">
        <f t="shared" si="21"/>
        <v>0</v>
      </c>
    </row>
    <row r="94" spans="1:11" ht="12.75" customHeight="1" x14ac:dyDescent="0.2">
      <c r="A94" s="121" t="str">
        <f>"   "&amp;Labels!C189</f>
        <v xml:space="preserve">   Total</v>
      </c>
      <c r="B94" s="132">
        <f t="shared" si="22"/>
        <v>0</v>
      </c>
      <c r="C94" s="132">
        <f t="shared" si="22"/>
        <v>0</v>
      </c>
      <c r="D94" s="132">
        <f t="shared" si="22"/>
        <v>0</v>
      </c>
      <c r="E94" s="132">
        <f t="shared" si="22"/>
        <v>0</v>
      </c>
      <c r="F94" s="70">
        <f>SUM(B91:E91)</f>
        <v>0</v>
      </c>
      <c r="G94" s="132">
        <f t="shared" si="23"/>
        <v>0</v>
      </c>
      <c r="H94" s="132">
        <f t="shared" si="23"/>
        <v>0</v>
      </c>
      <c r="I94" s="132">
        <f t="shared" si="23"/>
        <v>0</v>
      </c>
      <c r="J94" s="132">
        <f t="shared" si="23"/>
        <v>0</v>
      </c>
      <c r="K94" s="70">
        <f>SUM(G91:J91)</f>
        <v>0</v>
      </c>
    </row>
    <row r="95" spans="1:11" ht="12.75" customHeight="1" x14ac:dyDescent="0.2">
      <c r="A95" s="1" t="str">
        <f>"Working_Cap_Amort_2"</f>
        <v>Working_Cap_Amort_2</v>
      </c>
    </row>
    <row r="96" spans="1:11" ht="12.75" customHeight="1" x14ac:dyDescent="0.2">
      <c r="B96" s="17" t="str">
        <f>'(FnCalls 1)'!G7</f>
        <v>Q1 2011</v>
      </c>
      <c r="C96" s="18" t="str">
        <f>'(FnCalls 1)'!G8</f>
        <v>Q2 2011</v>
      </c>
      <c r="D96" s="18" t="str">
        <f>'(FnCalls 1)'!G9</f>
        <v>Q3 2011</v>
      </c>
      <c r="E96" s="18" t="str">
        <f>'(FnCalls 1)'!G10</f>
        <v>Q4 2011</v>
      </c>
      <c r="F96" s="62" t="str">
        <f>'(FnCalls 1)'!H7</f>
        <v>2011</v>
      </c>
      <c r="G96" s="18" t="str">
        <f>'(FnCalls 1)'!G11</f>
        <v>Q1 2012</v>
      </c>
      <c r="H96" s="18" t="str">
        <f>'(FnCalls 1)'!G12</f>
        <v>Q2 2012</v>
      </c>
      <c r="I96" s="18" t="str">
        <f>'(FnCalls 1)'!G13</f>
        <v>Q3 2012</v>
      </c>
      <c r="J96" s="18" t="str">
        <f>'(FnCalls 1)'!G14</f>
        <v>Q4 2012</v>
      </c>
      <c r="K96" s="62" t="str">
        <f>'(FnCalls 1)'!H11</f>
        <v>2012</v>
      </c>
    </row>
    <row r="97" spans="1:11" ht="12.75" customHeight="1" x14ac:dyDescent="0.2">
      <c r="A97" s="111" t="str">
        <f>Labels!B182</f>
        <v>Catamarans</v>
      </c>
      <c r="B97" s="110"/>
      <c r="C97" s="110"/>
      <c r="D97" s="110"/>
      <c r="E97" s="110"/>
      <c r="F97" s="75"/>
      <c r="G97" s="110"/>
      <c r="H97" s="110"/>
      <c r="I97" s="110"/>
      <c r="J97" s="110"/>
      <c r="K97" s="75"/>
    </row>
    <row r="98" spans="1:11" ht="12.75" customHeight="1" x14ac:dyDescent="0.2">
      <c r="A98" s="114" t="str">
        <f>"   "&amp;Labels!B190</f>
        <v xml:space="preserve">   Receivables</v>
      </c>
      <c r="B98" s="113">
        <f>Investment!B71*(-Inputs!E43)</f>
        <v>0</v>
      </c>
      <c r="C98" s="113">
        <f>Investment!D71*(-Inputs!E43)</f>
        <v>0</v>
      </c>
      <c r="D98" s="113">
        <f>Investment!E71*(-Inputs!E43)</f>
        <v>0</v>
      </c>
      <c r="E98" s="113">
        <f>Investment!F71*(-Inputs!E43)</f>
        <v>0</v>
      </c>
      <c r="F98" s="69">
        <f>SUM(B98:E98)</f>
        <v>0</v>
      </c>
      <c r="G98" s="113">
        <f>Investment!G71*(-Inputs!E43)</f>
        <v>0</v>
      </c>
      <c r="H98" s="113">
        <f>Investment!I71*(-Inputs!E43)</f>
        <v>0</v>
      </c>
      <c r="I98" s="113">
        <f>Investment!J71*(-Inputs!E43)</f>
        <v>0</v>
      </c>
      <c r="J98" s="113">
        <f>Investment!K71*(-Inputs!E43)</f>
        <v>0</v>
      </c>
      <c r="K98" s="69">
        <f>SUM(G98:J98)</f>
        <v>0</v>
      </c>
    </row>
    <row r="99" spans="1:11" ht="12.75" customHeight="1" x14ac:dyDescent="0.2">
      <c r="A99" s="114" t="str">
        <f>"   "&amp;Labels!B191</f>
        <v xml:space="preserve">   Supplies inventory</v>
      </c>
      <c r="B99" s="113">
        <f>Investment!B72*(-Inputs!F43)</f>
        <v>0</v>
      </c>
      <c r="C99" s="113">
        <f>Investment!D72*(-Inputs!F43)</f>
        <v>0</v>
      </c>
      <c r="D99" s="113">
        <f>Investment!E72*(-Inputs!F43)</f>
        <v>0</v>
      </c>
      <c r="E99" s="113">
        <f>Investment!F72*(-Inputs!F43)</f>
        <v>0</v>
      </c>
      <c r="F99" s="69">
        <f>SUM(B99:E99)</f>
        <v>0</v>
      </c>
      <c r="G99" s="113">
        <f>Investment!G72*(-Inputs!F43)</f>
        <v>0</v>
      </c>
      <c r="H99" s="113">
        <f>Investment!I72*(-Inputs!F43)</f>
        <v>0</v>
      </c>
      <c r="I99" s="113">
        <f>Investment!J72*(-Inputs!F43)</f>
        <v>0</v>
      </c>
      <c r="J99" s="113">
        <f>Investment!K72*(-Inputs!F43)</f>
        <v>0</v>
      </c>
      <c r="K99" s="69">
        <f>SUM(G99:J99)</f>
        <v>0</v>
      </c>
    </row>
    <row r="100" spans="1:11" ht="12.75" customHeight="1" x14ac:dyDescent="0.2">
      <c r="A100" s="117" t="str">
        <f>"   "&amp;Labels!C189</f>
        <v xml:space="preserve">   Total</v>
      </c>
      <c r="B100" s="120">
        <f>SUM(B98:B99)</f>
        <v>0</v>
      </c>
      <c r="C100" s="120">
        <f>SUM(C98:C99)</f>
        <v>0</v>
      </c>
      <c r="D100" s="120">
        <f>SUM(D98:D99)</f>
        <v>0</v>
      </c>
      <c r="E100" s="120">
        <f>SUM(E98:E99)</f>
        <v>0</v>
      </c>
      <c r="F100" s="69">
        <f>SUM(B100:E100)</f>
        <v>0</v>
      </c>
      <c r="G100" s="120">
        <f>SUM(G98:G99)</f>
        <v>0</v>
      </c>
      <c r="H100" s="120">
        <f>SUM(H98:H99)</f>
        <v>0</v>
      </c>
      <c r="I100" s="120">
        <f>SUM(I98:I99)</f>
        <v>0</v>
      </c>
      <c r="J100" s="120">
        <f>SUM(J98:J99)</f>
        <v>0</v>
      </c>
      <c r="K100" s="69">
        <f>SUM(G100:J100)</f>
        <v>0</v>
      </c>
    </row>
    <row r="101" spans="1:11" ht="12.75" customHeight="1" x14ac:dyDescent="0.2">
      <c r="A101" s="117" t="str">
        <f>Labels!B183</f>
        <v>Canoes</v>
      </c>
      <c r="B101" s="120"/>
      <c r="C101" s="120"/>
      <c r="D101" s="120"/>
      <c r="E101" s="120"/>
      <c r="F101" s="69"/>
      <c r="G101" s="120"/>
      <c r="H101" s="120"/>
      <c r="I101" s="120"/>
      <c r="J101" s="120"/>
      <c r="K101" s="69"/>
    </row>
    <row r="102" spans="1:11" ht="12.75" customHeight="1" x14ac:dyDescent="0.2">
      <c r="A102" s="114" t="str">
        <f>"   "&amp;Labels!B190</f>
        <v xml:space="preserve">   Receivables</v>
      </c>
      <c r="B102" s="113">
        <f>Investment!B75*(-Inputs!E44)</f>
        <v>0</v>
      </c>
      <c r="C102" s="113">
        <f>Investment!D75*(-Inputs!E44)</f>
        <v>0</v>
      </c>
      <c r="D102" s="113">
        <f>Investment!E75*(-Inputs!E44)</f>
        <v>0</v>
      </c>
      <c r="E102" s="113">
        <f>Investment!F75*(-Inputs!E44)</f>
        <v>0</v>
      </c>
      <c r="F102" s="69">
        <f t="shared" ref="F102:F107" si="24">SUM(B102:E102)</f>
        <v>0</v>
      </c>
      <c r="G102" s="113">
        <f>Investment!G75*(-Inputs!E44)</f>
        <v>0</v>
      </c>
      <c r="H102" s="113">
        <f>Investment!I75*(-Inputs!E44)</f>
        <v>0</v>
      </c>
      <c r="I102" s="113">
        <f>Investment!J75*(-Inputs!E44)</f>
        <v>0</v>
      </c>
      <c r="J102" s="113">
        <f>Investment!K75*(-Inputs!E44)</f>
        <v>0</v>
      </c>
      <c r="K102" s="69">
        <f t="shared" ref="K102:K107" si="25">SUM(G102:J102)</f>
        <v>0</v>
      </c>
    </row>
    <row r="103" spans="1:11" ht="12.75" customHeight="1" x14ac:dyDescent="0.2">
      <c r="A103" s="114" t="str">
        <f>"   "&amp;Labels!B191</f>
        <v xml:space="preserve">   Supplies inventory</v>
      </c>
      <c r="B103" s="113">
        <f>Investment!B76*(-Inputs!F44)</f>
        <v>0</v>
      </c>
      <c r="C103" s="113">
        <f>Investment!D76*(-Inputs!F44)</f>
        <v>0</v>
      </c>
      <c r="D103" s="113">
        <f>Investment!E76*(-Inputs!F44)</f>
        <v>0</v>
      </c>
      <c r="E103" s="113">
        <f>Investment!F76*(-Inputs!F44)</f>
        <v>0</v>
      </c>
      <c r="F103" s="69">
        <f t="shared" si="24"/>
        <v>0</v>
      </c>
      <c r="G103" s="113">
        <f>Investment!G76*(-Inputs!F44)</f>
        <v>0</v>
      </c>
      <c r="H103" s="113">
        <f>Investment!I76*(-Inputs!F44)</f>
        <v>0</v>
      </c>
      <c r="I103" s="113">
        <f>Investment!J76*(-Inputs!F44)</f>
        <v>0</v>
      </c>
      <c r="J103" s="113">
        <f>Investment!K76*(-Inputs!F44)</f>
        <v>0</v>
      </c>
      <c r="K103" s="69">
        <f t="shared" si="25"/>
        <v>0</v>
      </c>
    </row>
    <row r="104" spans="1:11" ht="12.75" customHeight="1" x14ac:dyDescent="0.2">
      <c r="A104" s="117" t="str">
        <f>"   "&amp;Labels!C189</f>
        <v xml:space="preserve">   Total</v>
      </c>
      <c r="B104" s="120">
        <f>SUM(B102:B103)</f>
        <v>0</v>
      </c>
      <c r="C104" s="120">
        <f>SUM(C102:C103)</f>
        <v>0</v>
      </c>
      <c r="D104" s="120">
        <f>SUM(D102:D103)</f>
        <v>0</v>
      </c>
      <c r="E104" s="120">
        <f>SUM(E102:E103)</f>
        <v>0</v>
      </c>
      <c r="F104" s="69">
        <f t="shared" si="24"/>
        <v>0</v>
      </c>
      <c r="G104" s="120">
        <f>SUM(G102:G103)</f>
        <v>0</v>
      </c>
      <c r="H104" s="120">
        <f>SUM(H102:H103)</f>
        <v>0</v>
      </c>
      <c r="I104" s="120">
        <f>SUM(I102:I103)</f>
        <v>0</v>
      </c>
      <c r="J104" s="120">
        <f>SUM(J102:J103)</f>
        <v>0</v>
      </c>
      <c r="K104" s="69">
        <f t="shared" si="25"/>
        <v>0</v>
      </c>
    </row>
    <row r="105" spans="1:11" ht="12.75" customHeight="1" x14ac:dyDescent="0.2">
      <c r="A105" s="12" t="str">
        <f>Labels!C181</f>
        <v>Total</v>
      </c>
      <c r="B105" s="107">
        <f>SUM(B100,B104)</f>
        <v>0</v>
      </c>
      <c r="C105" s="107">
        <f>SUM(C100,C104)</f>
        <v>0</v>
      </c>
      <c r="D105" s="107">
        <f>SUM(D100,D104)</f>
        <v>0</v>
      </c>
      <c r="E105" s="107">
        <f>SUM(E100,E104)</f>
        <v>0</v>
      </c>
      <c r="F105" s="108">
        <f t="shared" si="24"/>
        <v>0</v>
      </c>
      <c r="G105" s="107">
        <f>SUM(G100,G104)</f>
        <v>0</v>
      </c>
      <c r="H105" s="107">
        <f>SUM(H100,H104)</f>
        <v>0</v>
      </c>
      <c r="I105" s="107">
        <f>SUM(I100,I104)</f>
        <v>0</v>
      </c>
      <c r="J105" s="107">
        <f>SUM(J100,J104)</f>
        <v>0</v>
      </c>
      <c r="K105" s="108">
        <f t="shared" si="25"/>
        <v>0</v>
      </c>
    </row>
    <row r="106" spans="1:11" ht="12.75" customHeight="1" x14ac:dyDescent="0.2">
      <c r="A106" s="114" t="str">
        <f>"   "&amp;Labels!B190</f>
        <v xml:space="preserve">   Receivables</v>
      </c>
      <c r="B106" s="113">
        <f t="shared" ref="B106:E108" si="26">SUM(B98,B102)</f>
        <v>0</v>
      </c>
      <c r="C106" s="113">
        <f t="shared" si="26"/>
        <v>0</v>
      </c>
      <c r="D106" s="113">
        <f t="shared" si="26"/>
        <v>0</v>
      </c>
      <c r="E106" s="113">
        <f t="shared" si="26"/>
        <v>0</v>
      </c>
      <c r="F106" s="69">
        <f t="shared" si="24"/>
        <v>0</v>
      </c>
      <c r="G106" s="113">
        <f t="shared" ref="G106:J108" si="27">SUM(G98,G102)</f>
        <v>0</v>
      </c>
      <c r="H106" s="113">
        <f t="shared" si="27"/>
        <v>0</v>
      </c>
      <c r="I106" s="113">
        <f t="shared" si="27"/>
        <v>0</v>
      </c>
      <c r="J106" s="113">
        <f t="shared" si="27"/>
        <v>0</v>
      </c>
      <c r="K106" s="69">
        <f t="shared" si="25"/>
        <v>0</v>
      </c>
    </row>
    <row r="107" spans="1:11" ht="12.75" customHeight="1" x14ac:dyDescent="0.2">
      <c r="A107" s="114" t="str">
        <f>"   "&amp;Labels!B191</f>
        <v xml:space="preserve">   Supplies inventory</v>
      </c>
      <c r="B107" s="113">
        <f t="shared" si="26"/>
        <v>0</v>
      </c>
      <c r="C107" s="113">
        <f t="shared" si="26"/>
        <v>0</v>
      </c>
      <c r="D107" s="113">
        <f t="shared" si="26"/>
        <v>0</v>
      </c>
      <c r="E107" s="113">
        <f t="shared" si="26"/>
        <v>0</v>
      </c>
      <c r="F107" s="69">
        <f t="shared" si="24"/>
        <v>0</v>
      </c>
      <c r="G107" s="113">
        <f t="shared" si="27"/>
        <v>0</v>
      </c>
      <c r="H107" s="113">
        <f t="shared" si="27"/>
        <v>0</v>
      </c>
      <c r="I107" s="113">
        <f t="shared" si="27"/>
        <v>0</v>
      </c>
      <c r="J107" s="113">
        <f t="shared" si="27"/>
        <v>0</v>
      </c>
      <c r="K107" s="69">
        <f t="shared" si="25"/>
        <v>0</v>
      </c>
    </row>
    <row r="108" spans="1:11" ht="12.75" customHeight="1" x14ac:dyDescent="0.2">
      <c r="A108" s="121" t="str">
        <f>"   "&amp;Labels!C189</f>
        <v xml:space="preserve">   Total</v>
      </c>
      <c r="B108" s="132">
        <f t="shared" si="26"/>
        <v>0</v>
      </c>
      <c r="C108" s="132">
        <f t="shared" si="26"/>
        <v>0</v>
      </c>
      <c r="D108" s="132">
        <f t="shared" si="26"/>
        <v>0</v>
      </c>
      <c r="E108" s="132">
        <f t="shared" si="26"/>
        <v>0</v>
      </c>
      <c r="F108" s="70">
        <f>SUM(B105:E105)</f>
        <v>0</v>
      </c>
      <c r="G108" s="132">
        <f t="shared" si="27"/>
        <v>0</v>
      </c>
      <c r="H108" s="132">
        <f t="shared" si="27"/>
        <v>0</v>
      </c>
      <c r="I108" s="132">
        <f t="shared" si="27"/>
        <v>0</v>
      </c>
      <c r="J108" s="132">
        <f t="shared" si="27"/>
        <v>0</v>
      </c>
      <c r="K108" s="70">
        <f>SUM(G105:J105)</f>
        <v>0</v>
      </c>
    </row>
    <row r="109" spans="1:11" ht="12.75" customHeight="1" x14ac:dyDescent="0.2">
      <c r="A109" s="1" t="str">
        <f>"Income_Tax_1"</f>
        <v>Income_Tax_1</v>
      </c>
    </row>
    <row r="110" spans="1:11" ht="12.75" customHeight="1" x14ac:dyDescent="0.2">
      <c r="B110" s="17" t="str">
        <f>'(FnCalls 1)'!G7</f>
        <v>Q1 2011</v>
      </c>
      <c r="C110" s="18" t="str">
        <f>'(FnCalls 1)'!G8</f>
        <v>Q2 2011</v>
      </c>
      <c r="D110" s="18" t="str">
        <f>'(FnCalls 1)'!G9</f>
        <v>Q3 2011</v>
      </c>
      <c r="E110" s="18" t="str">
        <f>'(FnCalls 1)'!G10</f>
        <v>Q4 2011</v>
      </c>
      <c r="F110" s="62" t="str">
        <f>'(FnCalls 1)'!H7</f>
        <v>2011</v>
      </c>
      <c r="G110" s="18" t="str">
        <f>'(FnCalls 1)'!G11</f>
        <v>Q1 2012</v>
      </c>
      <c r="H110" s="18" t="str">
        <f>'(FnCalls 1)'!G12</f>
        <v>Q2 2012</v>
      </c>
      <c r="I110" s="18" t="str">
        <f>'(FnCalls 1)'!G13</f>
        <v>Q3 2012</v>
      </c>
      <c r="J110" s="18" t="str">
        <f>'(FnCalls 1)'!G14</f>
        <v>Q4 2012</v>
      </c>
      <c r="K110" s="62" t="str">
        <f>'(FnCalls 1)'!H11</f>
        <v>2012</v>
      </c>
    </row>
    <row r="111" spans="1:11" ht="12.75" customHeight="1" x14ac:dyDescent="0.2">
      <c r="A111" s="111" t="str">
        <f>Labels!B182</f>
        <v>Catamarans</v>
      </c>
      <c r="B111" s="110"/>
      <c r="C111" s="110"/>
      <c r="D111" s="110"/>
      <c r="E111" s="110"/>
      <c r="F111" s="75"/>
      <c r="G111" s="110"/>
      <c r="H111" s="110"/>
      <c r="I111" s="110"/>
      <c r="J111" s="110"/>
      <c r="K111" s="75"/>
    </row>
    <row r="112" spans="1:11" ht="12.75" customHeight="1" x14ac:dyDescent="0.2">
      <c r="A112" s="114" t="str">
        <f>"   "&amp;Labels!B170</f>
        <v xml:space="preserve">   Invest 1</v>
      </c>
      <c r="B112" s="113">
        <f>Inputs!G108*(-'Blended Fin'!D322)</f>
        <v>0</v>
      </c>
      <c r="C112" s="113">
        <f>Inputs!H108*(-'Blended Fin'!E322)</f>
        <v>0</v>
      </c>
      <c r="D112" s="113">
        <f>Inputs!I108*(-'Blended Fin'!F322)</f>
        <v>0</v>
      </c>
      <c r="E112" s="113">
        <f>Inputs!J108*(-'Blended Fin'!G322)</f>
        <v>0</v>
      </c>
      <c r="F112" s="69">
        <f>SUM(B112:E112)</f>
        <v>0</v>
      </c>
      <c r="G112" s="113">
        <f>Inputs!L108*(-'Blended Fin'!I322)</f>
        <v>0</v>
      </c>
      <c r="H112" s="113">
        <f>Inputs!M108*(-'Blended Fin'!J322)</f>
        <v>0</v>
      </c>
      <c r="I112" s="113">
        <f>Inputs!N108*(-'Blended Fin'!K322)</f>
        <v>0</v>
      </c>
      <c r="J112" s="113">
        <f>Inputs!O108*(-'Blended Fin'!L322)</f>
        <v>0</v>
      </c>
      <c r="K112" s="69">
        <f>SUM(G112:J112)</f>
        <v>0</v>
      </c>
    </row>
    <row r="113" spans="1:13" ht="12.75" customHeight="1" x14ac:dyDescent="0.2">
      <c r="A113" s="114" t="str">
        <f>"   "&amp;Labels!B171</f>
        <v xml:space="preserve">   Invest 2</v>
      </c>
      <c r="B113" s="113">
        <f>Inputs!G108*(-'Blended Fin'!D323)</f>
        <v>0</v>
      </c>
      <c r="C113" s="113">
        <f>Inputs!H108*(-'Blended Fin'!E323)</f>
        <v>0</v>
      </c>
      <c r="D113" s="113">
        <f>Inputs!I108*(-'Blended Fin'!F323)</f>
        <v>0</v>
      </c>
      <c r="E113" s="113">
        <f>Inputs!J108*(-'Blended Fin'!G323)</f>
        <v>0</v>
      </c>
      <c r="F113" s="69">
        <f>SUM(B113:E113)</f>
        <v>0</v>
      </c>
      <c r="G113" s="113">
        <f>Inputs!L108*(-'Blended Fin'!I323)</f>
        <v>0</v>
      </c>
      <c r="H113" s="113">
        <f>Inputs!M108*(-'Blended Fin'!J323)</f>
        <v>0</v>
      </c>
      <c r="I113" s="113">
        <f>Inputs!N108*(-'Blended Fin'!K323)</f>
        <v>0</v>
      </c>
      <c r="J113" s="113">
        <f>Inputs!O108*(-'Blended Fin'!L323)</f>
        <v>0</v>
      </c>
      <c r="K113" s="69">
        <f>SUM(G113:J113)</f>
        <v>0</v>
      </c>
    </row>
    <row r="114" spans="1:13" ht="12.75" customHeight="1" x14ac:dyDescent="0.2">
      <c r="A114" s="117" t="str">
        <f>"   "&amp;Labels!C169</f>
        <v xml:space="preserve">   Total</v>
      </c>
      <c r="B114" s="120">
        <f>SUM(B112:B113)</f>
        <v>0</v>
      </c>
      <c r="C114" s="120">
        <f>SUM(C112:C113)</f>
        <v>0</v>
      </c>
      <c r="D114" s="120">
        <f>SUM(D112:D113)</f>
        <v>0</v>
      </c>
      <c r="E114" s="120">
        <f>SUM(E112:E113)</f>
        <v>0</v>
      </c>
      <c r="F114" s="69">
        <f>SUM(B114:E114)</f>
        <v>0</v>
      </c>
      <c r="G114" s="120">
        <f>SUM(G112:G113)</f>
        <v>0</v>
      </c>
      <c r="H114" s="120">
        <f>SUM(H112:H113)</f>
        <v>0</v>
      </c>
      <c r="I114" s="120">
        <f>SUM(I112:I113)</f>
        <v>0</v>
      </c>
      <c r="J114" s="120">
        <f>SUM(J112:J113)</f>
        <v>0</v>
      </c>
      <c r="K114" s="69">
        <f>SUM(G114:J114)</f>
        <v>0</v>
      </c>
    </row>
    <row r="115" spans="1:13" ht="12.75" customHeight="1" x14ac:dyDescent="0.2">
      <c r="A115" s="117" t="str">
        <f>Labels!B183</f>
        <v>Canoes</v>
      </c>
      <c r="B115" s="120"/>
      <c r="C115" s="120"/>
      <c r="D115" s="120"/>
      <c r="E115" s="120"/>
      <c r="F115" s="69"/>
      <c r="G115" s="120"/>
      <c r="H115" s="120"/>
      <c r="I115" s="120"/>
      <c r="J115" s="120"/>
      <c r="K115" s="69"/>
    </row>
    <row r="116" spans="1:13" ht="12.75" customHeight="1" x14ac:dyDescent="0.2">
      <c r="A116" s="114" t="str">
        <f>"   "&amp;Labels!B170</f>
        <v xml:space="preserve">   Invest 1</v>
      </c>
      <c r="B116" s="113">
        <f>Inputs!G108*(-'Blended Fin'!D326)</f>
        <v>0</v>
      </c>
      <c r="C116" s="113">
        <f>Inputs!H108*(-'Blended Fin'!E326)</f>
        <v>0</v>
      </c>
      <c r="D116" s="113">
        <f>Inputs!I108*(-'Blended Fin'!F326)</f>
        <v>0</v>
      </c>
      <c r="E116" s="113">
        <f>Inputs!J108*(-'Blended Fin'!G326)</f>
        <v>0</v>
      </c>
      <c r="F116" s="69">
        <f t="shared" ref="F116:F121" si="28">SUM(B116:E116)</f>
        <v>0</v>
      </c>
      <c r="G116" s="113">
        <f>Inputs!L108*(-'Blended Fin'!I326)</f>
        <v>0</v>
      </c>
      <c r="H116" s="113">
        <f>Inputs!M108*(-'Blended Fin'!J326)</f>
        <v>0</v>
      </c>
      <c r="I116" s="113">
        <f>Inputs!N108*(-'Blended Fin'!K326)</f>
        <v>0</v>
      </c>
      <c r="J116" s="113">
        <f>Inputs!O108*(-'Blended Fin'!L326)</f>
        <v>0</v>
      </c>
      <c r="K116" s="69">
        <f t="shared" ref="K116:K121" si="29">SUM(G116:J116)</f>
        <v>0</v>
      </c>
    </row>
    <row r="117" spans="1:13" ht="12.75" customHeight="1" x14ac:dyDescent="0.2">
      <c r="A117" s="114" t="str">
        <f>"   "&amp;Labels!B171</f>
        <v xml:space="preserve">   Invest 2</v>
      </c>
      <c r="B117" s="113">
        <f>Inputs!G108*(-'Blended Fin'!D327)</f>
        <v>0</v>
      </c>
      <c r="C117" s="113">
        <f>Inputs!H108*(-'Blended Fin'!E327)</f>
        <v>0</v>
      </c>
      <c r="D117" s="113">
        <f>Inputs!I108*(-'Blended Fin'!F327)</f>
        <v>0</v>
      </c>
      <c r="E117" s="113">
        <f>Inputs!J108*(-'Blended Fin'!G327)</f>
        <v>0</v>
      </c>
      <c r="F117" s="69">
        <f t="shared" si="28"/>
        <v>0</v>
      </c>
      <c r="G117" s="113">
        <f>Inputs!L108*(-'Blended Fin'!I327)</f>
        <v>0</v>
      </c>
      <c r="H117" s="113">
        <f>Inputs!M108*(-'Blended Fin'!J327)</f>
        <v>0</v>
      </c>
      <c r="I117" s="113">
        <f>Inputs!N108*(-'Blended Fin'!K327)</f>
        <v>0</v>
      </c>
      <c r="J117" s="113">
        <f>Inputs!O108*(-'Blended Fin'!L327)</f>
        <v>0</v>
      </c>
      <c r="K117" s="69">
        <f t="shared" si="29"/>
        <v>0</v>
      </c>
    </row>
    <row r="118" spans="1:13" ht="12.75" customHeight="1" x14ac:dyDescent="0.2">
      <c r="A118" s="117" t="str">
        <f>"   "&amp;Labels!C169</f>
        <v xml:space="preserve">   Total</v>
      </c>
      <c r="B118" s="120">
        <f>SUM(B116:B117)</f>
        <v>0</v>
      </c>
      <c r="C118" s="120">
        <f>SUM(C116:C117)</f>
        <v>0</v>
      </c>
      <c r="D118" s="120">
        <f>SUM(D116:D117)</f>
        <v>0</v>
      </c>
      <c r="E118" s="120">
        <f>SUM(E116:E117)</f>
        <v>0</v>
      </c>
      <c r="F118" s="69">
        <f t="shared" si="28"/>
        <v>0</v>
      </c>
      <c r="G118" s="120">
        <f>SUM(G116:G117)</f>
        <v>0</v>
      </c>
      <c r="H118" s="120">
        <f>SUM(H116:H117)</f>
        <v>0</v>
      </c>
      <c r="I118" s="120">
        <f>SUM(I116:I117)</f>
        <v>0</v>
      </c>
      <c r="J118" s="120">
        <f>SUM(J116:J117)</f>
        <v>0</v>
      </c>
      <c r="K118" s="69">
        <f t="shared" si="29"/>
        <v>0</v>
      </c>
    </row>
    <row r="119" spans="1:13" ht="12.75" customHeight="1" x14ac:dyDescent="0.2">
      <c r="A119" s="12" t="str">
        <f>Labels!C181</f>
        <v>Total</v>
      </c>
      <c r="B119" s="107">
        <f>SUM(B114,B118)</f>
        <v>0</v>
      </c>
      <c r="C119" s="107">
        <f>SUM(C114,C118)</f>
        <v>0</v>
      </c>
      <c r="D119" s="107">
        <f>SUM(D114,D118)</f>
        <v>0</v>
      </c>
      <c r="E119" s="107">
        <f>SUM(E114,E118)</f>
        <v>0</v>
      </c>
      <c r="F119" s="108">
        <f t="shared" si="28"/>
        <v>0</v>
      </c>
      <c r="G119" s="107">
        <f>SUM(G114,G118)</f>
        <v>0</v>
      </c>
      <c r="H119" s="107">
        <f>SUM(H114,H118)</f>
        <v>0</v>
      </c>
      <c r="I119" s="107">
        <f>SUM(I114,I118)</f>
        <v>0</v>
      </c>
      <c r="J119" s="107">
        <f>SUM(J114,J118)</f>
        <v>0</v>
      </c>
      <c r="K119" s="108">
        <f t="shared" si="29"/>
        <v>0</v>
      </c>
    </row>
    <row r="120" spans="1:13" ht="12.75" customHeight="1" x14ac:dyDescent="0.2">
      <c r="A120" s="114" t="str">
        <f>"   "&amp;Labels!B170</f>
        <v xml:space="preserve">   Invest 1</v>
      </c>
      <c r="B120" s="113">
        <f t="shared" ref="B120:E122" si="30">SUM(B112,B116)</f>
        <v>0</v>
      </c>
      <c r="C120" s="113">
        <f t="shared" si="30"/>
        <v>0</v>
      </c>
      <c r="D120" s="113">
        <f t="shared" si="30"/>
        <v>0</v>
      </c>
      <c r="E120" s="113">
        <f t="shared" si="30"/>
        <v>0</v>
      </c>
      <c r="F120" s="69">
        <f t="shared" si="28"/>
        <v>0</v>
      </c>
      <c r="G120" s="113">
        <f t="shared" ref="G120:J122" si="31">SUM(G112,G116)</f>
        <v>0</v>
      </c>
      <c r="H120" s="113">
        <f t="shared" si="31"/>
        <v>0</v>
      </c>
      <c r="I120" s="113">
        <f t="shared" si="31"/>
        <v>0</v>
      </c>
      <c r="J120" s="113">
        <f t="shared" si="31"/>
        <v>0</v>
      </c>
      <c r="K120" s="69">
        <f t="shared" si="29"/>
        <v>0</v>
      </c>
    </row>
    <row r="121" spans="1:13" ht="12.75" customHeight="1" x14ac:dyDescent="0.2">
      <c r="A121" s="114" t="str">
        <f>"   "&amp;Labels!B171</f>
        <v xml:space="preserve">   Invest 2</v>
      </c>
      <c r="B121" s="113">
        <f t="shared" si="30"/>
        <v>0</v>
      </c>
      <c r="C121" s="113">
        <f t="shared" si="30"/>
        <v>0</v>
      </c>
      <c r="D121" s="113">
        <f t="shared" si="30"/>
        <v>0</v>
      </c>
      <c r="E121" s="113">
        <f t="shared" si="30"/>
        <v>0</v>
      </c>
      <c r="F121" s="69">
        <f t="shared" si="28"/>
        <v>0</v>
      </c>
      <c r="G121" s="113">
        <f t="shared" si="31"/>
        <v>0</v>
      </c>
      <c r="H121" s="113">
        <f t="shared" si="31"/>
        <v>0</v>
      </c>
      <c r="I121" s="113">
        <f t="shared" si="31"/>
        <v>0</v>
      </c>
      <c r="J121" s="113">
        <f t="shared" si="31"/>
        <v>0</v>
      </c>
      <c r="K121" s="69">
        <f t="shared" si="29"/>
        <v>0</v>
      </c>
    </row>
    <row r="122" spans="1:13" ht="12.75" customHeight="1" x14ac:dyDescent="0.2">
      <c r="A122" s="121" t="str">
        <f>"   "&amp;Labels!C169</f>
        <v xml:space="preserve">   Total</v>
      </c>
      <c r="B122" s="132">
        <f t="shared" si="30"/>
        <v>0</v>
      </c>
      <c r="C122" s="132">
        <f t="shared" si="30"/>
        <v>0</v>
      </c>
      <c r="D122" s="132">
        <f t="shared" si="30"/>
        <v>0</v>
      </c>
      <c r="E122" s="132">
        <f t="shared" si="30"/>
        <v>0</v>
      </c>
      <c r="F122" s="70">
        <f>SUM(B119:E119)</f>
        <v>0</v>
      </c>
      <c r="G122" s="132">
        <f t="shared" si="31"/>
        <v>0</v>
      </c>
      <c r="H122" s="132">
        <f t="shared" si="31"/>
        <v>0</v>
      </c>
      <c r="I122" s="132">
        <f t="shared" si="31"/>
        <v>0</v>
      </c>
      <c r="J122" s="132">
        <f t="shared" si="31"/>
        <v>0</v>
      </c>
      <c r="K122" s="70">
        <f>SUM(G119:J119)</f>
        <v>0</v>
      </c>
    </row>
    <row r="123" spans="1:13" ht="12.75" customHeight="1" x14ac:dyDescent="0.2">
      <c r="A123" s="1" t="str">
        <f>"Cash_Flow_Work_Cap_1"</f>
        <v>Cash_Flow_Work_Cap_1</v>
      </c>
    </row>
    <row r="124" spans="1:13" ht="12.75" customHeight="1" x14ac:dyDescent="0.2">
      <c r="B124" s="17" t="str">
        <f>'(FnCalls 1)'!G6</f>
        <v>Q4 2010</v>
      </c>
      <c r="C124" s="62" t="str">
        <f>'(FnCalls 1)'!H4</f>
        <v>2010</v>
      </c>
      <c r="D124" s="18" t="str">
        <f>'(FnCalls 1)'!G7</f>
        <v>Q1 2011</v>
      </c>
      <c r="E124" s="18" t="str">
        <f>'(FnCalls 1)'!G8</f>
        <v>Q2 2011</v>
      </c>
      <c r="F124" s="18" t="str">
        <f>'(FnCalls 1)'!G9</f>
        <v>Q3 2011</v>
      </c>
      <c r="G124" s="18" t="str">
        <f>'(FnCalls 1)'!G10</f>
        <v>Q4 2011</v>
      </c>
      <c r="H124" s="62" t="str">
        <f>'(FnCalls 1)'!H7</f>
        <v>2011</v>
      </c>
      <c r="I124" s="18" t="str">
        <f>'(FnCalls 1)'!G11</f>
        <v>Q1 2012</v>
      </c>
      <c r="J124" s="18" t="str">
        <f>'(FnCalls 1)'!G12</f>
        <v>Q2 2012</v>
      </c>
      <c r="K124" s="18" t="str">
        <f>'(FnCalls 1)'!G13</f>
        <v>Q3 2012</v>
      </c>
      <c r="L124" s="18" t="str">
        <f>'(FnCalls 1)'!G14</f>
        <v>Q4 2012</v>
      </c>
      <c r="M124" s="62" t="str">
        <f>'(FnCalls 1)'!H11</f>
        <v>2012</v>
      </c>
    </row>
    <row r="125" spans="1:13" ht="12.75" customHeight="1" x14ac:dyDescent="0.2">
      <c r="A125" s="111" t="str">
        <f>Labels!B182</f>
        <v>Catamarans</v>
      </c>
      <c r="B125" s="110"/>
      <c r="C125" s="75"/>
      <c r="D125" s="110"/>
      <c r="E125" s="110"/>
      <c r="F125" s="110"/>
      <c r="G125" s="110"/>
      <c r="H125" s="75"/>
      <c r="I125" s="110"/>
      <c r="J125" s="110"/>
      <c r="K125" s="110"/>
      <c r="L125" s="110"/>
      <c r="M125" s="75"/>
    </row>
    <row r="126" spans="1:13" ht="12.75" customHeight="1" x14ac:dyDescent="0.2">
      <c r="A126" s="114" t="str">
        <f>"   "&amp;Labels!B190</f>
        <v xml:space="preserve">   Receivables</v>
      </c>
      <c r="B126" s="113"/>
      <c r="C126" s="69"/>
      <c r="D126" s="113"/>
      <c r="E126" s="113"/>
      <c r="F126" s="113"/>
      <c r="G126" s="113"/>
      <c r="H126" s="69"/>
      <c r="I126" s="113"/>
      <c r="J126" s="113"/>
      <c r="K126" s="113"/>
      <c r="L126" s="113"/>
      <c r="M126" s="69"/>
    </row>
    <row r="127" spans="1:13" ht="12.75" customHeight="1" x14ac:dyDescent="0.2">
      <c r="A127" s="144" t="str">
        <f>"      "&amp;Labels!B170</f>
        <v xml:space="preserve">      Invest 1</v>
      </c>
      <c r="B127" s="116">
        <f>IF(AND('(Tables)'!B36=0,0&gt;=1),(Inputs!E43*0)/2,0)</f>
        <v>0</v>
      </c>
      <c r="C127" s="69">
        <f>B127</f>
        <v>0</v>
      </c>
      <c r="D127" s="116">
        <f>IF(AND('(Tables)'!D36=0,'(Tables)'!B36&gt;=1),(Inputs!E43*Investment!B71)/2,0)</f>
        <v>0</v>
      </c>
      <c r="E127" s="116">
        <f>IF(AND('(Tables)'!E36=0,'(Tables)'!D36&gt;=1),(Inputs!E43*Investment!D71)/2,0)</f>
        <v>0</v>
      </c>
      <c r="F127" s="116">
        <f>IF(AND('(Tables)'!F36=0,'(Tables)'!E36&gt;=1),(Inputs!E43*Investment!E71)/2,0)</f>
        <v>0</v>
      </c>
      <c r="G127" s="116">
        <f>IF(AND('(Tables)'!G36=0,'(Tables)'!F36&gt;=1),(Inputs!E43*Investment!F71)/2,0)</f>
        <v>0</v>
      </c>
      <c r="H127" s="69">
        <f>SUM(D127:G127)</f>
        <v>0</v>
      </c>
      <c r="I127" s="116">
        <f>IF(AND('(Tables)'!I36=0,'(Tables)'!G36&gt;=1),(Inputs!E43*Investment!G71)/2,0)</f>
        <v>0</v>
      </c>
      <c r="J127" s="116">
        <f>IF(AND('(Tables)'!J36=0,'(Tables)'!I36&gt;=1),(Inputs!E43*Investment!I71)/2,0)</f>
        <v>0</v>
      </c>
      <c r="K127" s="116">
        <f>IF(AND('(Tables)'!K36=0,'(Tables)'!J36&gt;=1),(Inputs!E43*Investment!J71)/2,0)</f>
        <v>0</v>
      </c>
      <c r="L127" s="116">
        <f>IF(AND('(Tables)'!L36=0,'(Tables)'!K36&gt;=1),(Inputs!E43*Investment!K71)/2,0)</f>
        <v>0</v>
      </c>
      <c r="M127" s="69">
        <f>SUM(I127:L127)</f>
        <v>0</v>
      </c>
    </row>
    <row r="128" spans="1:13" ht="12.75" customHeight="1" x14ac:dyDescent="0.2">
      <c r="A128" s="144" t="str">
        <f>"      "&amp;Labels!B171</f>
        <v xml:space="preserve">      Invest 2</v>
      </c>
      <c r="B128" s="116">
        <f>IF(AND('(Tables)'!B37=0,0&gt;=1),(Inputs!E43*0)/2,0)</f>
        <v>0</v>
      </c>
      <c r="C128" s="69">
        <f>B128</f>
        <v>0</v>
      </c>
      <c r="D128" s="116">
        <f>IF(AND('(Tables)'!D37=0,'(Tables)'!B37&gt;=1),(Inputs!E43*Investment!B71)/2,0)</f>
        <v>0</v>
      </c>
      <c r="E128" s="116">
        <f>IF(AND('(Tables)'!E37=0,'(Tables)'!D37&gt;=1),(Inputs!E43*Investment!D71)/2,0)</f>
        <v>0</v>
      </c>
      <c r="F128" s="116">
        <f>IF(AND('(Tables)'!F37=0,'(Tables)'!E37&gt;=1),(Inputs!E43*Investment!E71)/2,0)</f>
        <v>0</v>
      </c>
      <c r="G128" s="116">
        <f>IF(AND('(Tables)'!G37=0,'(Tables)'!F37&gt;=1),(Inputs!E43*Investment!F71)/2,0)</f>
        <v>0</v>
      </c>
      <c r="H128" s="69">
        <f>SUM(D128:G128)</f>
        <v>0</v>
      </c>
      <c r="I128" s="116">
        <f>IF(AND('(Tables)'!I37=0,'(Tables)'!G37&gt;=1),(Inputs!E43*Investment!G71)/2,0)</f>
        <v>0</v>
      </c>
      <c r="J128" s="116">
        <f>IF(AND('(Tables)'!J37=0,'(Tables)'!I37&gt;=1),(Inputs!E43*Investment!I71)/2,0)</f>
        <v>0</v>
      </c>
      <c r="K128" s="116">
        <f>IF(AND('(Tables)'!K37=0,'(Tables)'!J37&gt;=1),(Inputs!E43*Investment!J71)/2,0)</f>
        <v>0</v>
      </c>
      <c r="L128" s="116">
        <f>IF(AND('(Tables)'!L37=0,'(Tables)'!K37&gt;=1),(Inputs!E43*Investment!K71)/2,0)</f>
        <v>0</v>
      </c>
      <c r="M128" s="69">
        <f>SUM(I128:L128)</f>
        <v>0</v>
      </c>
    </row>
    <row r="129" spans="1:13" ht="12.75" customHeight="1" x14ac:dyDescent="0.2">
      <c r="A129" s="114" t="str">
        <f>"      "&amp;Labels!C169</f>
        <v xml:space="preserve">      Total</v>
      </c>
      <c r="B129" s="113">
        <f>SUM(B127:B128)</f>
        <v>0</v>
      </c>
      <c r="C129" s="69">
        <f>SUM(B127:B128)</f>
        <v>0</v>
      </c>
      <c r="D129" s="113">
        <f>SUM(D127:D128)</f>
        <v>0</v>
      </c>
      <c r="E129" s="113">
        <f>SUM(E127:E128)</f>
        <v>0</v>
      </c>
      <c r="F129" s="113">
        <f>SUM(F127:F128)</f>
        <v>0</v>
      </c>
      <c r="G129" s="113">
        <f>SUM(G127:G128)</f>
        <v>0</v>
      </c>
      <c r="H129" s="69">
        <f>SUM(D129:G129)</f>
        <v>0</v>
      </c>
      <c r="I129" s="113">
        <f>SUM(I127:I128)</f>
        <v>0</v>
      </c>
      <c r="J129" s="113">
        <f>SUM(J127:J128)</f>
        <v>0</v>
      </c>
      <c r="K129" s="113">
        <f>SUM(K127:K128)</f>
        <v>0</v>
      </c>
      <c r="L129" s="113">
        <f>SUM(L127:L128)</f>
        <v>0</v>
      </c>
      <c r="M129" s="69">
        <f>SUM(I129:L129)</f>
        <v>0</v>
      </c>
    </row>
    <row r="130" spans="1:13" ht="12.75" customHeight="1" x14ac:dyDescent="0.2">
      <c r="A130" s="114" t="str">
        <f>"   "&amp;Labels!B191</f>
        <v xml:space="preserve">   Supplies inventory</v>
      </c>
      <c r="B130" s="113"/>
      <c r="C130" s="69"/>
      <c r="D130" s="113"/>
      <c r="E130" s="113"/>
      <c r="F130" s="113"/>
      <c r="G130" s="113"/>
      <c r="H130" s="69"/>
      <c r="I130" s="113"/>
      <c r="J130" s="113"/>
      <c r="K130" s="113"/>
      <c r="L130" s="113"/>
      <c r="M130" s="69"/>
    </row>
    <row r="131" spans="1:13" ht="12.75" customHeight="1" x14ac:dyDescent="0.2">
      <c r="A131" s="144" t="str">
        <f>"      "&amp;Labels!B170</f>
        <v xml:space="preserve">      Invest 1</v>
      </c>
      <c r="B131" s="116">
        <f>IF(AND('(Tables)'!B36=0,0&gt;=1),(Inputs!F43*0)/2,0)</f>
        <v>0</v>
      </c>
      <c r="C131" s="69">
        <f>B131</f>
        <v>0</v>
      </c>
      <c r="D131" s="116">
        <f>IF(AND('(Tables)'!D36=0,'(Tables)'!B36&gt;=1),(Inputs!F43*Investment!B72)/2,0)</f>
        <v>0</v>
      </c>
      <c r="E131" s="116">
        <f>IF(AND('(Tables)'!E36=0,'(Tables)'!D36&gt;=1),(Inputs!F43*Investment!D72)/2,0)</f>
        <v>0</v>
      </c>
      <c r="F131" s="116">
        <f>IF(AND('(Tables)'!F36=0,'(Tables)'!E36&gt;=1),(Inputs!F43*Investment!E72)/2,0)</f>
        <v>0</v>
      </c>
      <c r="G131" s="116">
        <f>IF(AND('(Tables)'!G36=0,'(Tables)'!F36&gt;=1),(Inputs!F43*Investment!F72)/2,0)</f>
        <v>0</v>
      </c>
      <c r="H131" s="69">
        <f t="shared" ref="H131:H136" si="32">SUM(D131:G131)</f>
        <v>0</v>
      </c>
      <c r="I131" s="116">
        <f>IF(AND('(Tables)'!I36=0,'(Tables)'!G36&gt;=1),(Inputs!F43*Investment!G72)/2,0)</f>
        <v>0</v>
      </c>
      <c r="J131" s="116">
        <f>IF(AND('(Tables)'!J36=0,'(Tables)'!I36&gt;=1),(Inputs!F43*Investment!I72)/2,0)</f>
        <v>0</v>
      </c>
      <c r="K131" s="116">
        <f>IF(AND('(Tables)'!K36=0,'(Tables)'!J36&gt;=1),(Inputs!F43*Investment!J72)/2,0)</f>
        <v>0</v>
      </c>
      <c r="L131" s="116">
        <f>IF(AND('(Tables)'!L36=0,'(Tables)'!K36&gt;=1),(Inputs!F43*Investment!K72)/2,0)</f>
        <v>0</v>
      </c>
      <c r="M131" s="69">
        <f t="shared" ref="M131:M136" si="33">SUM(I131:L131)</f>
        <v>0</v>
      </c>
    </row>
    <row r="132" spans="1:13" ht="12.75" customHeight="1" x14ac:dyDescent="0.2">
      <c r="A132" s="144" t="str">
        <f>"      "&amp;Labels!B171</f>
        <v xml:space="preserve">      Invest 2</v>
      </c>
      <c r="B132" s="116">
        <f>IF(AND('(Tables)'!B37=0,0&gt;=1),(Inputs!F43*0)/2,0)</f>
        <v>0</v>
      </c>
      <c r="C132" s="69">
        <f>B132</f>
        <v>0</v>
      </c>
      <c r="D132" s="116">
        <f>IF(AND('(Tables)'!D37=0,'(Tables)'!B37&gt;=1),(Inputs!F43*Investment!B72)/2,0)</f>
        <v>0</v>
      </c>
      <c r="E132" s="116">
        <f>IF(AND('(Tables)'!E37=0,'(Tables)'!D37&gt;=1),(Inputs!F43*Investment!D72)/2,0)</f>
        <v>0</v>
      </c>
      <c r="F132" s="116">
        <f>IF(AND('(Tables)'!F37=0,'(Tables)'!E37&gt;=1),(Inputs!F43*Investment!E72)/2,0)</f>
        <v>0</v>
      </c>
      <c r="G132" s="116">
        <f>IF(AND('(Tables)'!G37=0,'(Tables)'!F37&gt;=1),(Inputs!F43*Investment!F72)/2,0)</f>
        <v>0</v>
      </c>
      <c r="H132" s="69">
        <f t="shared" si="32"/>
        <v>0</v>
      </c>
      <c r="I132" s="116">
        <f>IF(AND('(Tables)'!I37=0,'(Tables)'!G37&gt;=1),(Inputs!F43*Investment!G72)/2,0)</f>
        <v>0</v>
      </c>
      <c r="J132" s="116">
        <f>IF(AND('(Tables)'!J37=0,'(Tables)'!I37&gt;=1),(Inputs!F43*Investment!I72)/2,0)</f>
        <v>0</v>
      </c>
      <c r="K132" s="116">
        <f>IF(AND('(Tables)'!K37=0,'(Tables)'!J37&gt;=1),(Inputs!F43*Investment!J72)/2,0)</f>
        <v>0</v>
      </c>
      <c r="L132" s="116">
        <f>IF(AND('(Tables)'!L37=0,'(Tables)'!K37&gt;=1),(Inputs!F43*Investment!K72)/2,0)</f>
        <v>0</v>
      </c>
      <c r="M132" s="69">
        <f t="shared" si="33"/>
        <v>0</v>
      </c>
    </row>
    <row r="133" spans="1:13" ht="12.75" customHeight="1" x14ac:dyDescent="0.2">
      <c r="A133" s="114" t="str">
        <f>"      "&amp;Labels!C169</f>
        <v xml:space="preserve">      Total</v>
      </c>
      <c r="B133" s="113">
        <f>SUM(B131:B132)</f>
        <v>0</v>
      </c>
      <c r="C133" s="69">
        <f>SUM(B131:B132)</f>
        <v>0</v>
      </c>
      <c r="D133" s="113">
        <f>SUM(D131:D132)</f>
        <v>0</v>
      </c>
      <c r="E133" s="113">
        <f>SUM(E131:E132)</f>
        <v>0</v>
      </c>
      <c r="F133" s="113">
        <f>SUM(F131:F132)</f>
        <v>0</v>
      </c>
      <c r="G133" s="113">
        <f>SUM(G131:G132)</f>
        <v>0</v>
      </c>
      <c r="H133" s="69">
        <f t="shared" si="32"/>
        <v>0</v>
      </c>
      <c r="I133" s="113">
        <f>SUM(I131:I132)</f>
        <v>0</v>
      </c>
      <c r="J133" s="113">
        <f>SUM(J131:J132)</f>
        <v>0</v>
      </c>
      <c r="K133" s="113">
        <f>SUM(K131:K132)</f>
        <v>0</v>
      </c>
      <c r="L133" s="113">
        <f>SUM(L131:L132)</f>
        <v>0</v>
      </c>
      <c r="M133" s="69">
        <f t="shared" si="33"/>
        <v>0</v>
      </c>
    </row>
    <row r="134" spans="1:13" ht="12.75" customHeight="1" x14ac:dyDescent="0.2">
      <c r="A134" s="117" t="str">
        <f>"   "&amp;Labels!C189</f>
        <v xml:space="preserve">   Total</v>
      </c>
      <c r="B134" s="120">
        <f>SUM(B129,B133)</f>
        <v>0</v>
      </c>
      <c r="C134" s="69">
        <f>SUM(B129,B133)</f>
        <v>0</v>
      </c>
      <c r="D134" s="120">
        <f>SUM(D129,D133)</f>
        <v>0</v>
      </c>
      <c r="E134" s="120">
        <f>SUM(E129,E133)</f>
        <v>0</v>
      </c>
      <c r="F134" s="120">
        <f>SUM(F129,F133)</f>
        <v>0</v>
      </c>
      <c r="G134" s="120">
        <f>SUM(G129,G133)</f>
        <v>0</v>
      </c>
      <c r="H134" s="69">
        <f t="shared" si="32"/>
        <v>0</v>
      </c>
      <c r="I134" s="120">
        <f>SUM(I129,I133)</f>
        <v>0</v>
      </c>
      <c r="J134" s="120">
        <f>SUM(J129,J133)</f>
        <v>0</v>
      </c>
      <c r="K134" s="120">
        <f>SUM(K129,K133)</f>
        <v>0</v>
      </c>
      <c r="L134" s="120">
        <f>SUM(L129,L133)</f>
        <v>0</v>
      </c>
      <c r="M134" s="69">
        <f t="shared" si="33"/>
        <v>0</v>
      </c>
    </row>
    <row r="135" spans="1:13" ht="12.75" customHeight="1" x14ac:dyDescent="0.2">
      <c r="A135" s="144" t="str">
        <f>"      "&amp;Labels!B170</f>
        <v xml:space="preserve">      Invest 1</v>
      </c>
      <c r="B135" s="116">
        <f>SUM(B127,B131)</f>
        <v>0</v>
      </c>
      <c r="C135" s="69">
        <f>SUM(B127,B131)</f>
        <v>0</v>
      </c>
      <c r="D135" s="116">
        <f t="shared" ref="D135:G137" si="34">SUM(D127,D131)</f>
        <v>0</v>
      </c>
      <c r="E135" s="116">
        <f t="shared" si="34"/>
        <v>0</v>
      </c>
      <c r="F135" s="116">
        <f t="shared" si="34"/>
        <v>0</v>
      </c>
      <c r="G135" s="116">
        <f t="shared" si="34"/>
        <v>0</v>
      </c>
      <c r="H135" s="69">
        <f t="shared" si="32"/>
        <v>0</v>
      </c>
      <c r="I135" s="116">
        <f t="shared" ref="I135:L137" si="35">SUM(I127,I131)</f>
        <v>0</v>
      </c>
      <c r="J135" s="116">
        <f t="shared" si="35"/>
        <v>0</v>
      </c>
      <c r="K135" s="116">
        <f t="shared" si="35"/>
        <v>0</v>
      </c>
      <c r="L135" s="116">
        <f t="shared" si="35"/>
        <v>0</v>
      </c>
      <c r="M135" s="69">
        <f t="shared" si="33"/>
        <v>0</v>
      </c>
    </row>
    <row r="136" spans="1:13" ht="12.75" customHeight="1" x14ac:dyDescent="0.2">
      <c r="A136" s="144" t="str">
        <f>"      "&amp;Labels!B171</f>
        <v xml:space="preserve">      Invest 2</v>
      </c>
      <c r="B136" s="116">
        <f>SUM(B128,B132)</f>
        <v>0</v>
      </c>
      <c r="C136" s="69">
        <f>SUM(B128,B132)</f>
        <v>0</v>
      </c>
      <c r="D136" s="116">
        <f t="shared" si="34"/>
        <v>0</v>
      </c>
      <c r="E136" s="116">
        <f t="shared" si="34"/>
        <v>0</v>
      </c>
      <c r="F136" s="116">
        <f t="shared" si="34"/>
        <v>0</v>
      </c>
      <c r="G136" s="116">
        <f t="shared" si="34"/>
        <v>0</v>
      </c>
      <c r="H136" s="69">
        <f t="shared" si="32"/>
        <v>0</v>
      </c>
      <c r="I136" s="116">
        <f t="shared" si="35"/>
        <v>0</v>
      </c>
      <c r="J136" s="116">
        <f t="shared" si="35"/>
        <v>0</v>
      </c>
      <c r="K136" s="116">
        <f t="shared" si="35"/>
        <v>0</v>
      </c>
      <c r="L136" s="116">
        <f t="shared" si="35"/>
        <v>0</v>
      </c>
      <c r="M136" s="69">
        <f t="shared" si="33"/>
        <v>0</v>
      </c>
    </row>
    <row r="137" spans="1:13" ht="12.75" customHeight="1" x14ac:dyDescent="0.2">
      <c r="A137" s="114" t="str">
        <f>"      "&amp;Labels!C169</f>
        <v xml:space="preserve">      Total</v>
      </c>
      <c r="B137" s="113">
        <f>SUM(B129,B133)</f>
        <v>0</v>
      </c>
      <c r="C137" s="69">
        <f>SUM(B129,B133)</f>
        <v>0</v>
      </c>
      <c r="D137" s="113">
        <f t="shared" si="34"/>
        <v>0</v>
      </c>
      <c r="E137" s="113">
        <f t="shared" si="34"/>
        <v>0</v>
      </c>
      <c r="F137" s="113">
        <f t="shared" si="34"/>
        <v>0</v>
      </c>
      <c r="G137" s="113">
        <f t="shared" si="34"/>
        <v>0</v>
      </c>
      <c r="H137" s="69">
        <f>SUM(D134:G134)</f>
        <v>0</v>
      </c>
      <c r="I137" s="113">
        <f t="shared" si="35"/>
        <v>0</v>
      </c>
      <c r="J137" s="113">
        <f t="shared" si="35"/>
        <v>0</v>
      </c>
      <c r="K137" s="113">
        <f t="shared" si="35"/>
        <v>0</v>
      </c>
      <c r="L137" s="113">
        <f t="shared" si="35"/>
        <v>0</v>
      </c>
      <c r="M137" s="69">
        <f>SUM(I134:L134)</f>
        <v>0</v>
      </c>
    </row>
    <row r="138" spans="1:13" ht="12.75" customHeight="1" x14ac:dyDescent="0.2">
      <c r="A138" s="117" t="str">
        <f>Labels!B183</f>
        <v>Canoes</v>
      </c>
      <c r="B138" s="120"/>
      <c r="C138" s="69"/>
      <c r="D138" s="120"/>
      <c r="E138" s="120"/>
      <c r="F138" s="120"/>
      <c r="G138" s="120"/>
      <c r="H138" s="69"/>
      <c r="I138" s="120"/>
      <c r="J138" s="120"/>
      <c r="K138" s="120"/>
      <c r="L138" s="120"/>
      <c r="M138" s="69"/>
    </row>
    <row r="139" spans="1:13" ht="12.75" customHeight="1" x14ac:dyDescent="0.2">
      <c r="A139" s="114" t="str">
        <f>"   "&amp;Labels!B190</f>
        <v xml:space="preserve">   Receivables</v>
      </c>
      <c r="B139" s="113"/>
      <c r="C139" s="69"/>
      <c r="D139" s="113"/>
      <c r="E139" s="113"/>
      <c r="F139" s="113"/>
      <c r="G139" s="113"/>
      <c r="H139" s="69"/>
      <c r="I139" s="113"/>
      <c r="J139" s="113"/>
      <c r="K139" s="113"/>
      <c r="L139" s="113"/>
      <c r="M139" s="69"/>
    </row>
    <row r="140" spans="1:13" ht="12.75" customHeight="1" x14ac:dyDescent="0.2">
      <c r="A140" s="144" t="str">
        <f>"      "&amp;Labels!B170</f>
        <v xml:space="preserve">      Invest 1</v>
      </c>
      <c r="B140" s="116">
        <f>IF(AND('(Tables)'!B40=0,0&gt;=1),(Inputs!E44*0)/2,0)</f>
        <v>0</v>
      </c>
      <c r="C140" s="69">
        <f>B140</f>
        <v>0</v>
      </c>
      <c r="D140" s="116">
        <f>IF(AND('(Tables)'!D40=0,'(Tables)'!B40&gt;=1),(Inputs!E44*Investment!B75)/2,0)</f>
        <v>0</v>
      </c>
      <c r="E140" s="116">
        <f>IF(AND('(Tables)'!E40=0,'(Tables)'!D40&gt;=1),(Inputs!E44*Investment!D75)/2,0)</f>
        <v>0</v>
      </c>
      <c r="F140" s="116">
        <f>IF(AND('(Tables)'!F40=0,'(Tables)'!E40&gt;=1),(Inputs!E44*Investment!E75)/2,0)</f>
        <v>0</v>
      </c>
      <c r="G140" s="116">
        <f>IF(AND('(Tables)'!G40=0,'(Tables)'!F40&gt;=1),(Inputs!E44*Investment!F75)/2,0)</f>
        <v>0</v>
      </c>
      <c r="H140" s="69">
        <f>SUM(D140:G140)</f>
        <v>0</v>
      </c>
      <c r="I140" s="116">
        <f>IF(AND('(Tables)'!I40=0,'(Tables)'!G40&gt;=1),(Inputs!E44*Investment!G75)/2,0)</f>
        <v>0</v>
      </c>
      <c r="J140" s="116">
        <f>IF(AND('(Tables)'!J40=0,'(Tables)'!I40&gt;=1),(Inputs!E44*Investment!I75)/2,0)</f>
        <v>0</v>
      </c>
      <c r="K140" s="116">
        <f>IF(AND('(Tables)'!K40=0,'(Tables)'!J40&gt;=1),(Inputs!E44*Investment!J75)/2,0)</f>
        <v>0</v>
      </c>
      <c r="L140" s="116">
        <f>IF(AND('(Tables)'!L40=0,'(Tables)'!K40&gt;=1),(Inputs!E44*Investment!K75)/2,0)</f>
        <v>0</v>
      </c>
      <c r="M140" s="69">
        <f>SUM(I140:L140)</f>
        <v>0</v>
      </c>
    </row>
    <row r="141" spans="1:13" ht="12.75" customHeight="1" x14ac:dyDescent="0.2">
      <c r="A141" s="144" t="str">
        <f>"      "&amp;Labels!B171</f>
        <v xml:space="preserve">      Invest 2</v>
      </c>
      <c r="B141" s="116">
        <f>IF(AND('(Tables)'!B41=0,0&gt;=1),(Inputs!E44*0)/2,0)</f>
        <v>0</v>
      </c>
      <c r="C141" s="69">
        <f>B141</f>
        <v>0</v>
      </c>
      <c r="D141" s="116">
        <f>IF(AND('(Tables)'!D41=0,'(Tables)'!B41&gt;=1),(Inputs!E44*Investment!B75)/2,0)</f>
        <v>0</v>
      </c>
      <c r="E141" s="116">
        <f>IF(AND('(Tables)'!E41=0,'(Tables)'!D41&gt;=1),(Inputs!E44*Investment!D75)/2,0)</f>
        <v>0</v>
      </c>
      <c r="F141" s="116">
        <f>IF(AND('(Tables)'!F41=0,'(Tables)'!E41&gt;=1),(Inputs!E44*Investment!E75)/2,0)</f>
        <v>0</v>
      </c>
      <c r="G141" s="116">
        <f>IF(AND('(Tables)'!G41=0,'(Tables)'!F41&gt;=1),(Inputs!E44*Investment!F75)/2,0)</f>
        <v>0</v>
      </c>
      <c r="H141" s="69">
        <f>SUM(D141:G141)</f>
        <v>0</v>
      </c>
      <c r="I141" s="116">
        <f>IF(AND('(Tables)'!I41=0,'(Tables)'!G41&gt;=1),(Inputs!E44*Investment!G75)/2,0)</f>
        <v>0</v>
      </c>
      <c r="J141" s="116">
        <f>IF(AND('(Tables)'!J41=0,'(Tables)'!I41&gt;=1),(Inputs!E44*Investment!I75)/2,0)</f>
        <v>0</v>
      </c>
      <c r="K141" s="116">
        <f>IF(AND('(Tables)'!K41=0,'(Tables)'!J41&gt;=1),(Inputs!E44*Investment!J75)/2,0)</f>
        <v>0</v>
      </c>
      <c r="L141" s="116">
        <f>IF(AND('(Tables)'!L41=0,'(Tables)'!K41&gt;=1),(Inputs!E44*Investment!K75)/2,0)</f>
        <v>0</v>
      </c>
      <c r="M141" s="69">
        <f>SUM(I141:L141)</f>
        <v>0</v>
      </c>
    </row>
    <row r="142" spans="1:13" ht="12.75" customHeight="1" x14ac:dyDescent="0.2">
      <c r="A142" s="114" t="str">
        <f>"      "&amp;Labels!C169</f>
        <v xml:space="preserve">      Total</v>
      </c>
      <c r="B142" s="113">
        <f>SUM(B140:B141)</f>
        <v>0</v>
      </c>
      <c r="C142" s="69">
        <f>SUM(B140:B141)</f>
        <v>0</v>
      </c>
      <c r="D142" s="113">
        <f>SUM(D140:D141)</f>
        <v>0</v>
      </c>
      <c r="E142" s="113">
        <f>SUM(E140:E141)</f>
        <v>0</v>
      </c>
      <c r="F142" s="113">
        <f>SUM(F140:F141)</f>
        <v>0</v>
      </c>
      <c r="G142" s="113">
        <f>SUM(G140:G141)</f>
        <v>0</v>
      </c>
      <c r="H142" s="69">
        <f>SUM(D142:G142)</f>
        <v>0</v>
      </c>
      <c r="I142" s="113">
        <f>SUM(I140:I141)</f>
        <v>0</v>
      </c>
      <c r="J142" s="113">
        <f>SUM(J140:J141)</f>
        <v>0</v>
      </c>
      <c r="K142" s="113">
        <f>SUM(K140:K141)</f>
        <v>0</v>
      </c>
      <c r="L142" s="113">
        <f>SUM(L140:L141)</f>
        <v>0</v>
      </c>
      <c r="M142" s="69">
        <f>SUM(I142:L142)</f>
        <v>0</v>
      </c>
    </row>
    <row r="143" spans="1:13" ht="12.75" customHeight="1" x14ac:dyDescent="0.2">
      <c r="A143" s="114" t="str">
        <f>"   "&amp;Labels!B191</f>
        <v xml:space="preserve">   Supplies inventory</v>
      </c>
      <c r="B143" s="113"/>
      <c r="C143" s="69"/>
      <c r="D143" s="113"/>
      <c r="E143" s="113"/>
      <c r="F143" s="113"/>
      <c r="G143" s="113"/>
      <c r="H143" s="69"/>
      <c r="I143" s="113"/>
      <c r="J143" s="113"/>
      <c r="K143" s="113"/>
      <c r="L143" s="113"/>
      <c r="M143" s="69"/>
    </row>
    <row r="144" spans="1:13" ht="12.75" customHeight="1" x14ac:dyDescent="0.2">
      <c r="A144" s="144" t="str">
        <f>"      "&amp;Labels!B170</f>
        <v xml:space="preserve">      Invest 1</v>
      </c>
      <c r="B144" s="116">
        <f>IF(AND('(Tables)'!B40=0,0&gt;=1),(Inputs!F44*0)/2,0)</f>
        <v>0</v>
      </c>
      <c r="C144" s="69">
        <f>B144</f>
        <v>0</v>
      </c>
      <c r="D144" s="116">
        <f>IF(AND('(Tables)'!D40=0,'(Tables)'!B40&gt;=1),(Inputs!F44*Investment!B76)/2,0)</f>
        <v>0</v>
      </c>
      <c r="E144" s="116">
        <f>IF(AND('(Tables)'!E40=0,'(Tables)'!D40&gt;=1),(Inputs!F44*Investment!D76)/2,0)</f>
        <v>0</v>
      </c>
      <c r="F144" s="116">
        <f>IF(AND('(Tables)'!F40=0,'(Tables)'!E40&gt;=1),(Inputs!F44*Investment!E76)/2,0)</f>
        <v>0</v>
      </c>
      <c r="G144" s="116">
        <f>IF(AND('(Tables)'!G40=0,'(Tables)'!F40&gt;=1),(Inputs!F44*Investment!F76)/2,0)</f>
        <v>0</v>
      </c>
      <c r="H144" s="69">
        <f t="shared" ref="H144:H149" si="36">SUM(D144:G144)</f>
        <v>0</v>
      </c>
      <c r="I144" s="116">
        <f>IF(AND('(Tables)'!I40=0,'(Tables)'!G40&gt;=1),(Inputs!F44*Investment!G76)/2,0)</f>
        <v>0</v>
      </c>
      <c r="J144" s="116">
        <f>IF(AND('(Tables)'!J40=0,'(Tables)'!I40&gt;=1),(Inputs!F44*Investment!I76)/2,0)</f>
        <v>0</v>
      </c>
      <c r="K144" s="116">
        <f>IF(AND('(Tables)'!K40=0,'(Tables)'!J40&gt;=1),(Inputs!F44*Investment!J76)/2,0)</f>
        <v>0</v>
      </c>
      <c r="L144" s="116">
        <f>IF(AND('(Tables)'!L40=0,'(Tables)'!K40&gt;=1),(Inputs!F44*Investment!K76)/2,0)</f>
        <v>0</v>
      </c>
      <c r="M144" s="69">
        <f t="shared" ref="M144:M149" si="37">SUM(I144:L144)</f>
        <v>0</v>
      </c>
    </row>
    <row r="145" spans="1:13" ht="12.75" customHeight="1" x14ac:dyDescent="0.2">
      <c r="A145" s="144" t="str">
        <f>"      "&amp;Labels!B171</f>
        <v xml:space="preserve">      Invest 2</v>
      </c>
      <c r="B145" s="116">
        <f>IF(AND('(Tables)'!B41=0,0&gt;=1),(Inputs!F44*0)/2,0)</f>
        <v>0</v>
      </c>
      <c r="C145" s="69">
        <f>B145</f>
        <v>0</v>
      </c>
      <c r="D145" s="116">
        <f>IF(AND('(Tables)'!D41=0,'(Tables)'!B41&gt;=1),(Inputs!F44*Investment!B76)/2,0)</f>
        <v>0</v>
      </c>
      <c r="E145" s="116">
        <f>IF(AND('(Tables)'!E41=0,'(Tables)'!D41&gt;=1),(Inputs!F44*Investment!D76)/2,0)</f>
        <v>0</v>
      </c>
      <c r="F145" s="116">
        <f>IF(AND('(Tables)'!F41=0,'(Tables)'!E41&gt;=1),(Inputs!F44*Investment!E76)/2,0)</f>
        <v>0</v>
      </c>
      <c r="G145" s="116">
        <f>IF(AND('(Tables)'!G41=0,'(Tables)'!F41&gt;=1),(Inputs!F44*Investment!F76)/2,0)</f>
        <v>0</v>
      </c>
      <c r="H145" s="69">
        <f t="shared" si="36"/>
        <v>0</v>
      </c>
      <c r="I145" s="116">
        <f>IF(AND('(Tables)'!I41=0,'(Tables)'!G41&gt;=1),(Inputs!F44*Investment!G76)/2,0)</f>
        <v>0</v>
      </c>
      <c r="J145" s="116">
        <f>IF(AND('(Tables)'!J41=0,'(Tables)'!I41&gt;=1),(Inputs!F44*Investment!I76)/2,0)</f>
        <v>0</v>
      </c>
      <c r="K145" s="116">
        <f>IF(AND('(Tables)'!K41=0,'(Tables)'!J41&gt;=1),(Inputs!F44*Investment!J76)/2,0)</f>
        <v>0</v>
      </c>
      <c r="L145" s="116">
        <f>IF(AND('(Tables)'!L41=0,'(Tables)'!K41&gt;=1),(Inputs!F44*Investment!K76)/2,0)</f>
        <v>0</v>
      </c>
      <c r="M145" s="69">
        <f t="shared" si="37"/>
        <v>0</v>
      </c>
    </row>
    <row r="146" spans="1:13" ht="12.75" customHeight="1" x14ac:dyDescent="0.2">
      <c r="A146" s="114" t="str">
        <f>"      "&amp;Labels!C169</f>
        <v xml:space="preserve">      Total</v>
      </c>
      <c r="B146" s="113">
        <f>SUM(B144:B145)</f>
        <v>0</v>
      </c>
      <c r="C146" s="69">
        <f>SUM(B144:B145)</f>
        <v>0</v>
      </c>
      <c r="D146" s="113">
        <f>SUM(D144:D145)</f>
        <v>0</v>
      </c>
      <c r="E146" s="113">
        <f>SUM(E144:E145)</f>
        <v>0</v>
      </c>
      <c r="F146" s="113">
        <f>SUM(F144:F145)</f>
        <v>0</v>
      </c>
      <c r="G146" s="113">
        <f>SUM(G144:G145)</f>
        <v>0</v>
      </c>
      <c r="H146" s="69">
        <f t="shared" si="36"/>
        <v>0</v>
      </c>
      <c r="I146" s="113">
        <f>SUM(I144:I145)</f>
        <v>0</v>
      </c>
      <c r="J146" s="113">
        <f>SUM(J144:J145)</f>
        <v>0</v>
      </c>
      <c r="K146" s="113">
        <f>SUM(K144:K145)</f>
        <v>0</v>
      </c>
      <c r="L146" s="113">
        <f>SUM(L144:L145)</f>
        <v>0</v>
      </c>
      <c r="M146" s="69">
        <f t="shared" si="37"/>
        <v>0</v>
      </c>
    </row>
    <row r="147" spans="1:13" ht="12.75" customHeight="1" x14ac:dyDescent="0.2">
      <c r="A147" s="117" t="str">
        <f>"   "&amp;Labels!C189</f>
        <v xml:space="preserve">   Total</v>
      </c>
      <c r="B147" s="120">
        <f>SUM(B142,B146)</f>
        <v>0</v>
      </c>
      <c r="C147" s="69">
        <f>SUM(B142,B146)</f>
        <v>0</v>
      </c>
      <c r="D147" s="120">
        <f>SUM(D142,D146)</f>
        <v>0</v>
      </c>
      <c r="E147" s="120">
        <f>SUM(E142,E146)</f>
        <v>0</v>
      </c>
      <c r="F147" s="120">
        <f>SUM(F142,F146)</f>
        <v>0</v>
      </c>
      <c r="G147" s="120">
        <f>SUM(G142,G146)</f>
        <v>0</v>
      </c>
      <c r="H147" s="69">
        <f t="shared" si="36"/>
        <v>0</v>
      </c>
      <c r="I147" s="120">
        <f>SUM(I142,I146)</f>
        <v>0</v>
      </c>
      <c r="J147" s="120">
        <f>SUM(J142,J146)</f>
        <v>0</v>
      </c>
      <c r="K147" s="120">
        <f>SUM(K142,K146)</f>
        <v>0</v>
      </c>
      <c r="L147" s="120">
        <f>SUM(L142,L146)</f>
        <v>0</v>
      </c>
      <c r="M147" s="69">
        <f t="shared" si="37"/>
        <v>0</v>
      </c>
    </row>
    <row r="148" spans="1:13" ht="12.75" customHeight="1" x14ac:dyDescent="0.2">
      <c r="A148" s="144" t="str">
        <f>"      "&amp;Labels!B170</f>
        <v xml:space="preserve">      Invest 1</v>
      </c>
      <c r="B148" s="116">
        <f>SUM(B140,B144)</f>
        <v>0</v>
      </c>
      <c r="C148" s="69">
        <f>SUM(B140,B144)</f>
        <v>0</v>
      </c>
      <c r="D148" s="116">
        <f t="shared" ref="D148:G150" si="38">SUM(D140,D144)</f>
        <v>0</v>
      </c>
      <c r="E148" s="116">
        <f t="shared" si="38"/>
        <v>0</v>
      </c>
      <c r="F148" s="116">
        <f t="shared" si="38"/>
        <v>0</v>
      </c>
      <c r="G148" s="116">
        <f t="shared" si="38"/>
        <v>0</v>
      </c>
      <c r="H148" s="69">
        <f t="shared" si="36"/>
        <v>0</v>
      </c>
      <c r="I148" s="116">
        <f t="shared" ref="I148:L150" si="39">SUM(I140,I144)</f>
        <v>0</v>
      </c>
      <c r="J148" s="116">
        <f t="shared" si="39"/>
        <v>0</v>
      </c>
      <c r="K148" s="116">
        <f t="shared" si="39"/>
        <v>0</v>
      </c>
      <c r="L148" s="116">
        <f t="shared" si="39"/>
        <v>0</v>
      </c>
      <c r="M148" s="69">
        <f t="shared" si="37"/>
        <v>0</v>
      </c>
    </row>
    <row r="149" spans="1:13" ht="12.75" customHeight="1" x14ac:dyDescent="0.2">
      <c r="A149" s="144" t="str">
        <f>"      "&amp;Labels!B171</f>
        <v xml:space="preserve">      Invest 2</v>
      </c>
      <c r="B149" s="116">
        <f>SUM(B141,B145)</f>
        <v>0</v>
      </c>
      <c r="C149" s="69">
        <f>SUM(B141,B145)</f>
        <v>0</v>
      </c>
      <c r="D149" s="116">
        <f t="shared" si="38"/>
        <v>0</v>
      </c>
      <c r="E149" s="116">
        <f t="shared" si="38"/>
        <v>0</v>
      </c>
      <c r="F149" s="116">
        <f t="shared" si="38"/>
        <v>0</v>
      </c>
      <c r="G149" s="116">
        <f t="shared" si="38"/>
        <v>0</v>
      </c>
      <c r="H149" s="69">
        <f t="shared" si="36"/>
        <v>0</v>
      </c>
      <c r="I149" s="116">
        <f t="shared" si="39"/>
        <v>0</v>
      </c>
      <c r="J149" s="116">
        <f t="shared" si="39"/>
        <v>0</v>
      </c>
      <c r="K149" s="116">
        <f t="shared" si="39"/>
        <v>0</v>
      </c>
      <c r="L149" s="116">
        <f t="shared" si="39"/>
        <v>0</v>
      </c>
      <c r="M149" s="69">
        <f t="shared" si="37"/>
        <v>0</v>
      </c>
    </row>
    <row r="150" spans="1:13" ht="12.75" customHeight="1" x14ac:dyDescent="0.2">
      <c r="A150" s="114" t="str">
        <f>"      "&amp;Labels!C169</f>
        <v xml:space="preserve">      Total</v>
      </c>
      <c r="B150" s="113">
        <f>SUM(B142,B146)</f>
        <v>0</v>
      </c>
      <c r="C150" s="69">
        <f>SUM(B142,B146)</f>
        <v>0</v>
      </c>
      <c r="D150" s="113">
        <f t="shared" si="38"/>
        <v>0</v>
      </c>
      <c r="E150" s="113">
        <f t="shared" si="38"/>
        <v>0</v>
      </c>
      <c r="F150" s="113">
        <f t="shared" si="38"/>
        <v>0</v>
      </c>
      <c r="G150" s="113">
        <f t="shared" si="38"/>
        <v>0</v>
      </c>
      <c r="H150" s="69">
        <f>SUM(D147:G147)</f>
        <v>0</v>
      </c>
      <c r="I150" s="113">
        <f t="shared" si="39"/>
        <v>0</v>
      </c>
      <c r="J150" s="113">
        <f t="shared" si="39"/>
        <v>0</v>
      </c>
      <c r="K150" s="113">
        <f t="shared" si="39"/>
        <v>0</v>
      </c>
      <c r="L150" s="113">
        <f t="shared" si="39"/>
        <v>0</v>
      </c>
      <c r="M150" s="69">
        <f>SUM(I147:L147)</f>
        <v>0</v>
      </c>
    </row>
    <row r="151" spans="1:13" ht="12.75" customHeight="1" x14ac:dyDescent="0.2">
      <c r="A151" s="12" t="str">
        <f>Labels!C181</f>
        <v>Total</v>
      </c>
      <c r="B151" s="107">
        <f>SUM(B134,B147)</f>
        <v>0</v>
      </c>
      <c r="C151" s="108">
        <f>SUM(B134,B147)</f>
        <v>0</v>
      </c>
      <c r="D151" s="107">
        <f>SUM(D134,D147)</f>
        <v>0</v>
      </c>
      <c r="E151" s="107">
        <f>SUM(E134,E147)</f>
        <v>0</v>
      </c>
      <c r="F151" s="107">
        <f>SUM(F134,F147)</f>
        <v>0</v>
      </c>
      <c r="G151" s="107">
        <f>SUM(G134,G147)</f>
        <v>0</v>
      </c>
      <c r="H151" s="108">
        <f>SUM(D151:G151)</f>
        <v>0</v>
      </c>
      <c r="I151" s="107">
        <f>SUM(I134,I147)</f>
        <v>0</v>
      </c>
      <c r="J151" s="107">
        <f>SUM(J134,J147)</f>
        <v>0</v>
      </c>
      <c r="K151" s="107">
        <f>SUM(K134,K147)</f>
        <v>0</v>
      </c>
      <c r="L151" s="107">
        <f>SUM(L134,L147)</f>
        <v>0</v>
      </c>
      <c r="M151" s="108">
        <f>SUM(I151:L151)</f>
        <v>0</v>
      </c>
    </row>
    <row r="152" spans="1:13" ht="12.75" customHeight="1" x14ac:dyDescent="0.2">
      <c r="A152" s="114" t="str">
        <f>"   "&amp;Labels!B190</f>
        <v xml:space="preserve">   Receivables</v>
      </c>
      <c r="B152" s="113"/>
      <c r="C152" s="69"/>
      <c r="D152" s="113"/>
      <c r="E152" s="113"/>
      <c r="F152" s="113"/>
      <c r="G152" s="113"/>
      <c r="H152" s="69"/>
      <c r="I152" s="113"/>
      <c r="J152" s="113"/>
      <c r="K152" s="113"/>
      <c r="L152" s="113"/>
      <c r="M152" s="69"/>
    </row>
    <row r="153" spans="1:13" ht="12.75" customHeight="1" x14ac:dyDescent="0.2">
      <c r="A153" s="144" t="str">
        <f>"      "&amp;Labels!B170</f>
        <v xml:space="preserve">      Invest 1</v>
      </c>
      <c r="B153" s="116">
        <f>SUM(B127,B140)</f>
        <v>0</v>
      </c>
      <c r="C153" s="69">
        <f>SUM(B127,B140)</f>
        <v>0</v>
      </c>
      <c r="D153" s="116">
        <f t="shared" ref="D153:G155" si="40">SUM(D127,D140)</f>
        <v>0</v>
      </c>
      <c r="E153" s="116">
        <f t="shared" si="40"/>
        <v>0</v>
      </c>
      <c r="F153" s="116">
        <f t="shared" si="40"/>
        <v>0</v>
      </c>
      <c r="G153" s="116">
        <f t="shared" si="40"/>
        <v>0</v>
      </c>
      <c r="H153" s="69">
        <f>SUM(D153:G153)</f>
        <v>0</v>
      </c>
      <c r="I153" s="116">
        <f t="shared" ref="I153:L155" si="41">SUM(I127,I140)</f>
        <v>0</v>
      </c>
      <c r="J153" s="116">
        <f t="shared" si="41"/>
        <v>0</v>
      </c>
      <c r="K153" s="116">
        <f t="shared" si="41"/>
        <v>0</v>
      </c>
      <c r="L153" s="116">
        <f t="shared" si="41"/>
        <v>0</v>
      </c>
      <c r="M153" s="69">
        <f>SUM(I153:L153)</f>
        <v>0</v>
      </c>
    </row>
    <row r="154" spans="1:13" ht="12.75" customHeight="1" x14ac:dyDescent="0.2">
      <c r="A154" s="144" t="str">
        <f>"      "&amp;Labels!B171</f>
        <v xml:space="preserve">      Invest 2</v>
      </c>
      <c r="B154" s="116">
        <f>SUM(B128,B141)</f>
        <v>0</v>
      </c>
      <c r="C154" s="69">
        <f>SUM(B128,B141)</f>
        <v>0</v>
      </c>
      <c r="D154" s="116">
        <f t="shared" si="40"/>
        <v>0</v>
      </c>
      <c r="E154" s="116">
        <f t="shared" si="40"/>
        <v>0</v>
      </c>
      <c r="F154" s="116">
        <f t="shared" si="40"/>
        <v>0</v>
      </c>
      <c r="G154" s="116">
        <f t="shared" si="40"/>
        <v>0</v>
      </c>
      <c r="H154" s="69">
        <f>SUM(D154:G154)</f>
        <v>0</v>
      </c>
      <c r="I154" s="116">
        <f t="shared" si="41"/>
        <v>0</v>
      </c>
      <c r="J154" s="116">
        <f t="shared" si="41"/>
        <v>0</v>
      </c>
      <c r="K154" s="116">
        <f t="shared" si="41"/>
        <v>0</v>
      </c>
      <c r="L154" s="116">
        <f t="shared" si="41"/>
        <v>0</v>
      </c>
      <c r="M154" s="69">
        <f>SUM(I154:L154)</f>
        <v>0</v>
      </c>
    </row>
    <row r="155" spans="1:13" ht="12.75" customHeight="1" x14ac:dyDescent="0.2">
      <c r="A155" s="114" t="str">
        <f>"      "&amp;Labels!C169</f>
        <v xml:space="preserve">      Total</v>
      </c>
      <c r="B155" s="113">
        <f>SUM(B129,B142)</f>
        <v>0</v>
      </c>
      <c r="C155" s="69">
        <f>SUM(B129,B142)</f>
        <v>0</v>
      </c>
      <c r="D155" s="113">
        <f t="shared" si="40"/>
        <v>0</v>
      </c>
      <c r="E155" s="113">
        <f t="shared" si="40"/>
        <v>0</v>
      </c>
      <c r="F155" s="113">
        <f t="shared" si="40"/>
        <v>0</v>
      </c>
      <c r="G155" s="113">
        <f t="shared" si="40"/>
        <v>0</v>
      </c>
      <c r="H155" s="69">
        <f>SUM(D155:G155)</f>
        <v>0</v>
      </c>
      <c r="I155" s="113">
        <f t="shared" si="41"/>
        <v>0</v>
      </c>
      <c r="J155" s="113">
        <f t="shared" si="41"/>
        <v>0</v>
      </c>
      <c r="K155" s="113">
        <f t="shared" si="41"/>
        <v>0</v>
      </c>
      <c r="L155" s="113">
        <f t="shared" si="41"/>
        <v>0</v>
      </c>
      <c r="M155" s="69">
        <f>SUM(I155:L155)</f>
        <v>0</v>
      </c>
    </row>
    <row r="156" spans="1:13" ht="12.75" customHeight="1" x14ac:dyDescent="0.2">
      <c r="A156" s="114" t="str">
        <f>"   "&amp;Labels!B191</f>
        <v xml:space="preserve">   Supplies inventory</v>
      </c>
      <c r="B156" s="113"/>
      <c r="C156" s="69"/>
      <c r="D156" s="113"/>
      <c r="E156" s="113"/>
      <c r="F156" s="113"/>
      <c r="G156" s="113"/>
      <c r="H156" s="69"/>
      <c r="I156" s="113"/>
      <c r="J156" s="113"/>
      <c r="K156" s="113"/>
      <c r="L156" s="113"/>
      <c r="M156" s="69"/>
    </row>
    <row r="157" spans="1:13" ht="12.75" customHeight="1" x14ac:dyDescent="0.2">
      <c r="A157" s="144" t="str">
        <f>"      "&amp;Labels!B170</f>
        <v xml:space="preserve">      Invest 1</v>
      </c>
      <c r="B157" s="116">
        <f t="shared" ref="B157:B162" si="42">SUM(B131,B144)</f>
        <v>0</v>
      </c>
      <c r="C157" s="69">
        <f t="shared" ref="C157:C162" si="43">SUM(B131,B144)</f>
        <v>0</v>
      </c>
      <c r="D157" s="116">
        <f t="shared" ref="D157:G162" si="44">SUM(D131,D144)</f>
        <v>0</v>
      </c>
      <c r="E157" s="116">
        <f t="shared" si="44"/>
        <v>0</v>
      </c>
      <c r="F157" s="116">
        <f t="shared" si="44"/>
        <v>0</v>
      </c>
      <c r="G157" s="116">
        <f t="shared" si="44"/>
        <v>0</v>
      </c>
      <c r="H157" s="69">
        <f>SUM(D157:G157)</f>
        <v>0</v>
      </c>
      <c r="I157" s="116">
        <f t="shared" ref="I157:L162" si="45">SUM(I131,I144)</f>
        <v>0</v>
      </c>
      <c r="J157" s="116">
        <f t="shared" si="45"/>
        <v>0</v>
      </c>
      <c r="K157" s="116">
        <f t="shared" si="45"/>
        <v>0</v>
      </c>
      <c r="L157" s="116">
        <f t="shared" si="45"/>
        <v>0</v>
      </c>
      <c r="M157" s="69">
        <f>SUM(I157:L157)</f>
        <v>0</v>
      </c>
    </row>
    <row r="158" spans="1:13" ht="12.75" customHeight="1" x14ac:dyDescent="0.2">
      <c r="A158" s="144" t="str">
        <f>"      "&amp;Labels!B171</f>
        <v xml:space="preserve">      Invest 2</v>
      </c>
      <c r="B158" s="116">
        <f t="shared" si="42"/>
        <v>0</v>
      </c>
      <c r="C158" s="69">
        <f t="shared" si="43"/>
        <v>0</v>
      </c>
      <c r="D158" s="116">
        <f t="shared" si="44"/>
        <v>0</v>
      </c>
      <c r="E158" s="116">
        <f t="shared" si="44"/>
        <v>0</v>
      </c>
      <c r="F158" s="116">
        <f t="shared" si="44"/>
        <v>0</v>
      </c>
      <c r="G158" s="116">
        <f t="shared" si="44"/>
        <v>0</v>
      </c>
      <c r="H158" s="69">
        <f>SUM(D158:G158)</f>
        <v>0</v>
      </c>
      <c r="I158" s="116">
        <f t="shared" si="45"/>
        <v>0</v>
      </c>
      <c r="J158" s="116">
        <f t="shared" si="45"/>
        <v>0</v>
      </c>
      <c r="K158" s="116">
        <f t="shared" si="45"/>
        <v>0</v>
      </c>
      <c r="L158" s="116">
        <f t="shared" si="45"/>
        <v>0</v>
      </c>
      <c r="M158" s="69">
        <f>SUM(I158:L158)</f>
        <v>0</v>
      </c>
    </row>
    <row r="159" spans="1:13" ht="12.75" customHeight="1" x14ac:dyDescent="0.2">
      <c r="A159" s="114" t="str">
        <f>"      "&amp;Labels!C169</f>
        <v xml:space="preserve">      Total</v>
      </c>
      <c r="B159" s="113">
        <f t="shared" si="42"/>
        <v>0</v>
      </c>
      <c r="C159" s="69">
        <f t="shared" si="43"/>
        <v>0</v>
      </c>
      <c r="D159" s="113">
        <f t="shared" si="44"/>
        <v>0</v>
      </c>
      <c r="E159" s="113">
        <f t="shared" si="44"/>
        <v>0</v>
      </c>
      <c r="F159" s="113">
        <f t="shared" si="44"/>
        <v>0</v>
      </c>
      <c r="G159" s="113">
        <f t="shared" si="44"/>
        <v>0</v>
      </c>
      <c r="H159" s="69">
        <f>SUM(D159:G159)</f>
        <v>0</v>
      </c>
      <c r="I159" s="113">
        <f t="shared" si="45"/>
        <v>0</v>
      </c>
      <c r="J159" s="113">
        <f t="shared" si="45"/>
        <v>0</v>
      </c>
      <c r="K159" s="113">
        <f t="shared" si="45"/>
        <v>0</v>
      </c>
      <c r="L159" s="113">
        <f t="shared" si="45"/>
        <v>0</v>
      </c>
      <c r="M159" s="69">
        <f>SUM(I159:L159)</f>
        <v>0</v>
      </c>
    </row>
    <row r="160" spans="1:13" ht="12.75" customHeight="1" x14ac:dyDescent="0.2">
      <c r="A160" s="117" t="str">
        <f>"   "&amp;Labels!C189</f>
        <v xml:space="preserve">   Total</v>
      </c>
      <c r="B160" s="120">
        <f t="shared" si="42"/>
        <v>0</v>
      </c>
      <c r="C160" s="69">
        <f t="shared" si="43"/>
        <v>0</v>
      </c>
      <c r="D160" s="120">
        <f t="shared" si="44"/>
        <v>0</v>
      </c>
      <c r="E160" s="120">
        <f t="shared" si="44"/>
        <v>0</v>
      </c>
      <c r="F160" s="120">
        <f t="shared" si="44"/>
        <v>0</v>
      </c>
      <c r="G160" s="120">
        <f t="shared" si="44"/>
        <v>0</v>
      </c>
      <c r="H160" s="69">
        <f>SUM(D151:G151)</f>
        <v>0</v>
      </c>
      <c r="I160" s="120">
        <f t="shared" si="45"/>
        <v>0</v>
      </c>
      <c r="J160" s="120">
        <f t="shared" si="45"/>
        <v>0</v>
      </c>
      <c r="K160" s="120">
        <f t="shared" si="45"/>
        <v>0</v>
      </c>
      <c r="L160" s="120">
        <f t="shared" si="45"/>
        <v>0</v>
      </c>
      <c r="M160" s="69">
        <f>SUM(I151:L151)</f>
        <v>0</v>
      </c>
    </row>
    <row r="161" spans="1:13" ht="12.75" customHeight="1" x14ac:dyDescent="0.2">
      <c r="A161" s="144" t="str">
        <f>"      "&amp;Labels!B170</f>
        <v xml:space="preserve">      Invest 1</v>
      </c>
      <c r="B161" s="116">
        <f t="shared" si="42"/>
        <v>0</v>
      </c>
      <c r="C161" s="69">
        <f t="shared" si="43"/>
        <v>0</v>
      </c>
      <c r="D161" s="116">
        <f t="shared" si="44"/>
        <v>0</v>
      </c>
      <c r="E161" s="116">
        <f t="shared" si="44"/>
        <v>0</v>
      </c>
      <c r="F161" s="116">
        <f t="shared" si="44"/>
        <v>0</v>
      </c>
      <c r="G161" s="116">
        <f t="shared" si="44"/>
        <v>0</v>
      </c>
      <c r="H161" s="69">
        <f>SUM(D161:G161)</f>
        <v>0</v>
      </c>
      <c r="I161" s="116">
        <f t="shared" si="45"/>
        <v>0</v>
      </c>
      <c r="J161" s="116">
        <f t="shared" si="45"/>
        <v>0</v>
      </c>
      <c r="K161" s="116">
        <f t="shared" si="45"/>
        <v>0</v>
      </c>
      <c r="L161" s="116">
        <f t="shared" si="45"/>
        <v>0</v>
      </c>
      <c r="M161" s="69">
        <f>SUM(I161:L161)</f>
        <v>0</v>
      </c>
    </row>
    <row r="162" spans="1:13" ht="12.75" customHeight="1" x14ac:dyDescent="0.2">
      <c r="A162" s="144" t="str">
        <f>"      "&amp;Labels!B171</f>
        <v xml:space="preserve">      Invest 2</v>
      </c>
      <c r="B162" s="116">
        <f t="shared" si="42"/>
        <v>0</v>
      </c>
      <c r="C162" s="69">
        <f t="shared" si="43"/>
        <v>0</v>
      </c>
      <c r="D162" s="116">
        <f t="shared" si="44"/>
        <v>0</v>
      </c>
      <c r="E162" s="116">
        <f t="shared" si="44"/>
        <v>0</v>
      </c>
      <c r="F162" s="116">
        <f t="shared" si="44"/>
        <v>0</v>
      </c>
      <c r="G162" s="116">
        <f t="shared" si="44"/>
        <v>0</v>
      </c>
      <c r="H162" s="69">
        <f>SUM(D162:G162)</f>
        <v>0</v>
      </c>
      <c r="I162" s="116">
        <f t="shared" si="45"/>
        <v>0</v>
      </c>
      <c r="J162" s="116">
        <f t="shared" si="45"/>
        <v>0</v>
      </c>
      <c r="K162" s="116">
        <f t="shared" si="45"/>
        <v>0</v>
      </c>
      <c r="L162" s="116">
        <f t="shared" si="45"/>
        <v>0</v>
      </c>
      <c r="M162" s="69">
        <f>SUM(I162:L162)</f>
        <v>0</v>
      </c>
    </row>
    <row r="163" spans="1:13" ht="12.75" customHeight="1" x14ac:dyDescent="0.2">
      <c r="A163" s="145" t="str">
        <f>"      "&amp;Labels!C169</f>
        <v xml:space="preserve">      Total</v>
      </c>
      <c r="B163" s="123">
        <f>SUM(B134,B147)</f>
        <v>0</v>
      </c>
      <c r="C163" s="70">
        <f>SUM(B134,B147)</f>
        <v>0</v>
      </c>
      <c r="D163" s="123">
        <f>SUM(D134,D147)</f>
        <v>0</v>
      </c>
      <c r="E163" s="123">
        <f>SUM(E134,E147)</f>
        <v>0</v>
      </c>
      <c r="F163" s="123">
        <f>SUM(F134,F147)</f>
        <v>0</v>
      </c>
      <c r="G163" s="123">
        <f>SUM(G134,G147)</f>
        <v>0</v>
      </c>
      <c r="H163" s="70">
        <f>SUM(D151:G151)</f>
        <v>0</v>
      </c>
      <c r="I163" s="123">
        <f>SUM(I134,I147)</f>
        <v>0</v>
      </c>
      <c r="J163" s="123">
        <f>SUM(J134,J147)</f>
        <v>0</v>
      </c>
      <c r="K163" s="123">
        <f>SUM(K134,K147)</f>
        <v>0</v>
      </c>
      <c r="L163" s="123">
        <f>SUM(L134,L147)</f>
        <v>0</v>
      </c>
      <c r="M163" s="70">
        <f>SUM(I151:L151)</f>
        <v>0</v>
      </c>
    </row>
    <row r="164" spans="1:13" ht="12.75" customHeight="1" x14ac:dyDescent="0.2">
      <c r="A164" s="1" t="str">
        <f>"Tail_Future_Value_EqFin_1"</f>
        <v>Tail_Future_Value_EqFin_1</v>
      </c>
    </row>
    <row r="165" spans="1:13" ht="12.75" customHeight="1" x14ac:dyDescent="0.2">
      <c r="B165" s="17" t="str">
        <f>Labels!B182</f>
        <v>Catamarans</v>
      </c>
      <c r="C165" s="18" t="str">
        <f>Labels!B183</f>
        <v>Canoes</v>
      </c>
      <c r="D165" s="62" t="str">
        <f>Labels!C181</f>
        <v>Total</v>
      </c>
    </row>
    <row r="166" spans="1:13" ht="12.75" customHeight="1" x14ac:dyDescent="0.2">
      <c r="A166" s="111" t="str">
        <f>Labels!B145</f>
        <v>EBITDA</v>
      </c>
      <c r="B166" s="110">
        <f>'Equity Fin'!L18*'(Tables)'!B251</f>
        <v>0</v>
      </c>
      <c r="C166" s="110">
        <f>'Equity Fin'!L25*'(Tables)'!B252</f>
        <v>0</v>
      </c>
      <c r="D166" s="75">
        <f>SUM(B166:C166)</f>
        <v>0</v>
      </c>
    </row>
    <row r="167" spans="1:13" ht="12.75" customHeight="1" x14ac:dyDescent="0.2">
      <c r="A167" s="117" t="str">
        <f>Labels!B146</f>
        <v>Fixed Invest</v>
      </c>
      <c r="B167" s="120">
        <f>'Equity Fin'!L19*'(Tables)'!B251</f>
        <v>0</v>
      </c>
      <c r="C167" s="120">
        <f>'Equity Fin'!L26*'(Tables)'!B252</f>
        <v>0</v>
      </c>
      <c r="D167" s="69">
        <f>SUM(B167:C167)</f>
        <v>0</v>
      </c>
    </row>
    <row r="168" spans="1:13" ht="12.75" customHeight="1" x14ac:dyDescent="0.2">
      <c r="A168" s="117" t="str">
        <f>Labels!B147</f>
        <v>Inv Tax Credit</v>
      </c>
      <c r="B168" s="120">
        <f>'Equity Fin'!L20*'(Tables)'!B251</f>
        <v>0</v>
      </c>
      <c r="C168" s="120">
        <f>'Equity Fin'!L27*'(Tables)'!B252</f>
        <v>0</v>
      </c>
      <c r="D168" s="69">
        <f>SUM(B168:C168)</f>
        <v>0</v>
      </c>
    </row>
    <row r="169" spans="1:13" ht="12.75" customHeight="1" x14ac:dyDescent="0.2">
      <c r="A169" s="117" t="str">
        <f>Labels!B148</f>
        <v>Working Cap</v>
      </c>
      <c r="B169" s="120">
        <f>'Equity Fin'!L21*'(Tables)'!B251</f>
        <v>0</v>
      </c>
      <c r="C169" s="120">
        <f>'Equity Fin'!L28*'(Tables)'!B252</f>
        <v>0</v>
      </c>
      <c r="D169" s="69">
        <f>SUM(B169:C169)</f>
        <v>0</v>
      </c>
    </row>
    <row r="170" spans="1:13" ht="12.75" customHeight="1" x14ac:dyDescent="0.2">
      <c r="A170" s="117" t="str">
        <f>Labels!B149</f>
        <v>Income Tax</v>
      </c>
      <c r="B170" s="120">
        <f>'Equity Fin'!L22*'(Tables)'!B251</f>
        <v>0</v>
      </c>
      <c r="C170" s="120">
        <f>'Equity Fin'!L29*'(Tables)'!B252</f>
        <v>0</v>
      </c>
      <c r="D170" s="69">
        <f>SUM(B170:C170)</f>
        <v>0</v>
      </c>
    </row>
    <row r="171" spans="1:13" ht="12.75" customHeight="1" x14ac:dyDescent="0.2">
      <c r="A171" s="12" t="str">
        <f>Labels!C144</f>
        <v>Total</v>
      </c>
      <c r="B171" s="107">
        <f>SUM(B166:B170)</f>
        <v>0</v>
      </c>
      <c r="C171" s="107">
        <f>SUM(C166:C170)</f>
        <v>0</v>
      </c>
      <c r="D171" s="108">
        <f>SUM(D166:D170)</f>
        <v>0</v>
      </c>
    </row>
    <row r="172" spans="1:13" ht="12.75" customHeight="1" x14ac:dyDescent="0.2">
      <c r="A172" s="1" t="str">
        <f>"Tail_Future_Value_EqFin_2"</f>
        <v>Tail_Future_Value_EqFin_2</v>
      </c>
    </row>
    <row r="173" spans="1:13" ht="12.75" customHeight="1" x14ac:dyDescent="0.2">
      <c r="B173" s="17" t="str">
        <f>Labels!B182</f>
        <v>Catamarans</v>
      </c>
      <c r="C173" s="18" t="str">
        <f>Labels!B183</f>
        <v>Canoes</v>
      </c>
      <c r="D173" s="62" t="str">
        <f>Labels!C181</f>
        <v>Total</v>
      </c>
    </row>
    <row r="174" spans="1:13" ht="12.75" customHeight="1" x14ac:dyDescent="0.2">
      <c r="A174" s="111" t="str">
        <f>Labels!B145</f>
        <v>EBITDA</v>
      </c>
      <c r="B174" s="110">
        <f>'Equity Fin'!L18*'(Tables)'!B264</f>
        <v>0</v>
      </c>
      <c r="C174" s="110">
        <f>'Equity Fin'!L25*'(Tables)'!B265</f>
        <v>0</v>
      </c>
      <c r="D174" s="75">
        <f>SUM(B174:C174)</f>
        <v>0</v>
      </c>
    </row>
    <row r="175" spans="1:13" ht="12.75" customHeight="1" x14ac:dyDescent="0.2">
      <c r="A175" s="117" t="str">
        <f>Labels!B146</f>
        <v>Fixed Invest</v>
      </c>
      <c r="B175" s="120">
        <f>'Equity Fin'!L19*'(Tables)'!B264</f>
        <v>0</v>
      </c>
      <c r="C175" s="120">
        <f>'Equity Fin'!L26*'(Tables)'!B265</f>
        <v>0</v>
      </c>
      <c r="D175" s="69">
        <f>SUM(B175:C175)</f>
        <v>0</v>
      </c>
    </row>
    <row r="176" spans="1:13" ht="12.75" customHeight="1" x14ac:dyDescent="0.2">
      <c r="A176" s="117" t="str">
        <f>Labels!B147</f>
        <v>Inv Tax Credit</v>
      </c>
      <c r="B176" s="120">
        <f>'Equity Fin'!L20*'(Tables)'!B264</f>
        <v>0</v>
      </c>
      <c r="C176" s="120">
        <f>'Equity Fin'!L27*'(Tables)'!B265</f>
        <v>0</v>
      </c>
      <c r="D176" s="69">
        <f>SUM(B176:C176)</f>
        <v>0</v>
      </c>
    </row>
    <row r="177" spans="1:4" ht="12.75" customHeight="1" x14ac:dyDescent="0.2">
      <c r="A177" s="117" t="str">
        <f>Labels!B148</f>
        <v>Working Cap</v>
      </c>
      <c r="B177" s="120">
        <f>'Equity Fin'!L21*'(Tables)'!B264</f>
        <v>0</v>
      </c>
      <c r="C177" s="120">
        <f>'Equity Fin'!L28*'(Tables)'!B265</f>
        <v>0</v>
      </c>
      <c r="D177" s="69">
        <f>SUM(B177:C177)</f>
        <v>0</v>
      </c>
    </row>
    <row r="178" spans="1:4" ht="12.75" customHeight="1" x14ac:dyDescent="0.2">
      <c r="A178" s="117" t="str">
        <f>Labels!B149</f>
        <v>Income Tax</v>
      </c>
      <c r="B178" s="120">
        <f>'Equity Fin'!L22*'(Tables)'!B264</f>
        <v>0</v>
      </c>
      <c r="C178" s="120">
        <f>'Equity Fin'!L29*'(Tables)'!B265</f>
        <v>0</v>
      </c>
      <c r="D178" s="69">
        <f>SUM(B178:C178)</f>
        <v>0</v>
      </c>
    </row>
    <row r="179" spans="1:4" ht="12.75" customHeight="1" x14ac:dyDescent="0.2">
      <c r="A179" s="12" t="str">
        <f>Labels!C144</f>
        <v>Total</v>
      </c>
      <c r="B179" s="107">
        <f>SUM(B174:B178)</f>
        <v>0</v>
      </c>
      <c r="C179" s="107">
        <f>SUM(C174:C178)</f>
        <v>0</v>
      </c>
      <c r="D179" s="108">
        <f>SUM(D174:D178)</f>
        <v>0</v>
      </c>
    </row>
    <row r="180" spans="1:4" ht="12.75" customHeight="1" x14ac:dyDescent="0.2">
      <c r="A180" s="1" t="str">
        <f>"Tail_Future_Value_BlendFin_1"</f>
        <v>Tail_Future_Value_BlendFin_1</v>
      </c>
    </row>
    <row r="181" spans="1:4" ht="12.75" customHeight="1" x14ac:dyDescent="0.2">
      <c r="B181" s="17" t="str">
        <f>Labels!B182</f>
        <v>Catamarans</v>
      </c>
      <c r="C181" s="18" t="str">
        <f>Labels!B183</f>
        <v>Canoes</v>
      </c>
      <c r="D181" s="62" t="str">
        <f>Labels!C181</f>
        <v>Total</v>
      </c>
    </row>
    <row r="182" spans="1:4" ht="12.75" customHeight="1" x14ac:dyDescent="0.2">
      <c r="A182" s="111" t="str">
        <f>Labels!B135</f>
        <v>EBITDA</v>
      </c>
      <c r="B182" s="110">
        <f>'Blended Fin'!L18*'(Tables)'!B251</f>
        <v>0</v>
      </c>
      <c r="C182" s="110">
        <f>'Blended Fin'!L28*'(Tables)'!B252</f>
        <v>0</v>
      </c>
      <c r="D182" s="75">
        <f t="shared" ref="D182:D189" si="46">SUM(B182:C182)</f>
        <v>0</v>
      </c>
    </row>
    <row r="183" spans="1:4" ht="12.75" customHeight="1" x14ac:dyDescent="0.2">
      <c r="A183" s="117" t="str">
        <f>Labels!B136</f>
        <v>Fixed Invest</v>
      </c>
      <c r="B183" s="120">
        <f>'Blended Fin'!L19*'(Tables)'!B251</f>
        <v>0</v>
      </c>
      <c r="C183" s="120">
        <f>'Blended Fin'!L29*'(Tables)'!B252</f>
        <v>0</v>
      </c>
      <c r="D183" s="69">
        <f t="shared" si="46"/>
        <v>0</v>
      </c>
    </row>
    <row r="184" spans="1:4" ht="12.75" customHeight="1" x14ac:dyDescent="0.2">
      <c r="A184" s="117" t="str">
        <f>Labels!B137</f>
        <v>Inv Tax Credit</v>
      </c>
      <c r="B184" s="120">
        <f>'Blended Fin'!L20*'(Tables)'!B251</f>
        <v>0</v>
      </c>
      <c r="C184" s="120">
        <f>'Blended Fin'!L30*'(Tables)'!B252</f>
        <v>0</v>
      </c>
      <c r="D184" s="69">
        <f t="shared" si="46"/>
        <v>0</v>
      </c>
    </row>
    <row r="185" spans="1:4" ht="12.75" customHeight="1" x14ac:dyDescent="0.2">
      <c r="A185" s="117" t="str">
        <f>Labels!B138</f>
        <v>Working Cap</v>
      </c>
      <c r="B185" s="120">
        <f>'Blended Fin'!L21*'(Tables)'!B251</f>
        <v>0</v>
      </c>
      <c r="C185" s="120">
        <f>'Blended Fin'!L31*'(Tables)'!B252</f>
        <v>0</v>
      </c>
      <c r="D185" s="69">
        <f t="shared" si="46"/>
        <v>0</v>
      </c>
    </row>
    <row r="186" spans="1:4" ht="12.75" customHeight="1" x14ac:dyDescent="0.2">
      <c r="A186" s="117" t="str">
        <f>Labels!B139</f>
        <v>Debt Principal</v>
      </c>
      <c r="B186" s="120">
        <f>'Blended Fin'!L22*'(Tables)'!B251</f>
        <v>0</v>
      </c>
      <c r="C186" s="120">
        <f>'Blended Fin'!L32*'(Tables)'!B252</f>
        <v>0</v>
      </c>
      <c r="D186" s="69">
        <f t="shared" si="46"/>
        <v>0</v>
      </c>
    </row>
    <row r="187" spans="1:4" ht="12.75" customHeight="1" x14ac:dyDescent="0.2">
      <c r="A187" s="117" t="str">
        <f>Labels!B140</f>
        <v>Interest Pay</v>
      </c>
      <c r="B187" s="120">
        <f>'Blended Fin'!L23*'(Tables)'!B251</f>
        <v>0</v>
      </c>
      <c r="C187" s="120">
        <f>'Blended Fin'!L33*'(Tables)'!B252</f>
        <v>0</v>
      </c>
      <c r="D187" s="69">
        <f t="shared" si="46"/>
        <v>0</v>
      </c>
    </row>
    <row r="188" spans="1:4" ht="12.75" customHeight="1" x14ac:dyDescent="0.2">
      <c r="A188" s="117" t="str">
        <f>Labels!B141</f>
        <v>Lease Pay</v>
      </c>
      <c r="B188" s="120">
        <f>'Blended Fin'!L24*'(Tables)'!B251</f>
        <v>0</v>
      </c>
      <c r="C188" s="120">
        <f>'Blended Fin'!L34*'(Tables)'!B252</f>
        <v>0</v>
      </c>
      <c r="D188" s="69">
        <f t="shared" si="46"/>
        <v>0</v>
      </c>
    </row>
    <row r="189" spans="1:4" ht="12.75" customHeight="1" x14ac:dyDescent="0.2">
      <c r="A189" s="117" t="str">
        <f>Labels!B142</f>
        <v>Income Tax</v>
      </c>
      <c r="B189" s="120">
        <f>'Blended Fin'!L25*'(Tables)'!B251</f>
        <v>0</v>
      </c>
      <c r="C189" s="120">
        <f>'Blended Fin'!L35*'(Tables)'!B252</f>
        <v>0</v>
      </c>
      <c r="D189" s="69">
        <f t="shared" si="46"/>
        <v>0</v>
      </c>
    </row>
    <row r="190" spans="1:4" ht="12.75" customHeight="1" x14ac:dyDescent="0.2">
      <c r="A190" s="12" t="str">
        <f>Labels!C134</f>
        <v>Total</v>
      </c>
      <c r="B190" s="107">
        <f>SUM(B182:B189)</f>
        <v>0</v>
      </c>
      <c r="C190" s="107">
        <f>SUM(C182:C189)</f>
        <v>0</v>
      </c>
      <c r="D190" s="108">
        <f>SUM(D182:D189)</f>
        <v>0</v>
      </c>
    </row>
    <row r="191" spans="1:4" ht="12.75" customHeight="1" x14ac:dyDescent="0.2">
      <c r="A191" s="1" t="str">
        <f>"Tail_Future_Value_BlendFin_2"</f>
        <v>Tail_Future_Value_BlendFin_2</v>
      </c>
    </row>
    <row r="192" spans="1:4" ht="12.75" customHeight="1" x14ac:dyDescent="0.2">
      <c r="B192" s="17" t="str">
        <f>Labels!B182</f>
        <v>Catamarans</v>
      </c>
      <c r="C192" s="18" t="str">
        <f>Labels!B183</f>
        <v>Canoes</v>
      </c>
      <c r="D192" s="62" t="str">
        <f>Labels!C181</f>
        <v>Total</v>
      </c>
    </row>
    <row r="193" spans="1:11" ht="12.75" customHeight="1" x14ac:dyDescent="0.2">
      <c r="A193" s="111" t="str">
        <f>Labels!B135</f>
        <v>EBITDA</v>
      </c>
      <c r="B193" s="110">
        <f>'Blended Fin'!L18*'(Tables)'!B264</f>
        <v>0</v>
      </c>
      <c r="C193" s="110">
        <f>'Blended Fin'!L28*'(Tables)'!B265</f>
        <v>0</v>
      </c>
      <c r="D193" s="75">
        <f t="shared" ref="D193:D200" si="47">SUM(B193:C193)</f>
        <v>0</v>
      </c>
    </row>
    <row r="194" spans="1:11" ht="12.75" customHeight="1" x14ac:dyDescent="0.2">
      <c r="A194" s="117" t="str">
        <f>Labels!B136</f>
        <v>Fixed Invest</v>
      </c>
      <c r="B194" s="120">
        <f>'Blended Fin'!L19*'(Tables)'!B264</f>
        <v>0</v>
      </c>
      <c r="C194" s="120">
        <f>'Blended Fin'!L29*'(Tables)'!B265</f>
        <v>0</v>
      </c>
      <c r="D194" s="69">
        <f t="shared" si="47"/>
        <v>0</v>
      </c>
    </row>
    <row r="195" spans="1:11" ht="12.75" customHeight="1" x14ac:dyDescent="0.2">
      <c r="A195" s="117" t="str">
        <f>Labels!B137</f>
        <v>Inv Tax Credit</v>
      </c>
      <c r="B195" s="120">
        <f>'Blended Fin'!L20*'(Tables)'!B264</f>
        <v>0</v>
      </c>
      <c r="C195" s="120">
        <f>'Blended Fin'!L30*'(Tables)'!B265</f>
        <v>0</v>
      </c>
      <c r="D195" s="69">
        <f t="shared" si="47"/>
        <v>0</v>
      </c>
    </row>
    <row r="196" spans="1:11" ht="12.75" customHeight="1" x14ac:dyDescent="0.2">
      <c r="A196" s="117" t="str">
        <f>Labels!B138</f>
        <v>Working Cap</v>
      </c>
      <c r="B196" s="120">
        <f>'Blended Fin'!L21*'(Tables)'!B264</f>
        <v>0</v>
      </c>
      <c r="C196" s="120">
        <f>'Blended Fin'!L31*'(Tables)'!B265</f>
        <v>0</v>
      </c>
      <c r="D196" s="69">
        <f t="shared" si="47"/>
        <v>0</v>
      </c>
    </row>
    <row r="197" spans="1:11" ht="12.75" customHeight="1" x14ac:dyDescent="0.2">
      <c r="A197" s="117" t="str">
        <f>Labels!B139</f>
        <v>Debt Principal</v>
      </c>
      <c r="B197" s="120">
        <f>'Blended Fin'!L22*'(Tables)'!B264</f>
        <v>0</v>
      </c>
      <c r="C197" s="120">
        <f>'Blended Fin'!L32*'(Tables)'!B265</f>
        <v>0</v>
      </c>
      <c r="D197" s="69">
        <f t="shared" si="47"/>
        <v>0</v>
      </c>
    </row>
    <row r="198" spans="1:11" ht="12.75" customHeight="1" x14ac:dyDescent="0.2">
      <c r="A198" s="117" t="str">
        <f>Labels!B140</f>
        <v>Interest Pay</v>
      </c>
      <c r="B198" s="120">
        <f>'Blended Fin'!L23*'(Tables)'!B264</f>
        <v>0</v>
      </c>
      <c r="C198" s="120">
        <f>'Blended Fin'!L33*'(Tables)'!B265</f>
        <v>0</v>
      </c>
      <c r="D198" s="69">
        <f t="shared" si="47"/>
        <v>0</v>
      </c>
    </row>
    <row r="199" spans="1:11" ht="12.75" customHeight="1" x14ac:dyDescent="0.2">
      <c r="A199" s="117" t="str">
        <f>Labels!B141</f>
        <v>Lease Pay</v>
      </c>
      <c r="B199" s="120">
        <f>'Blended Fin'!L24*'(Tables)'!B264</f>
        <v>0</v>
      </c>
      <c r="C199" s="120">
        <f>'Blended Fin'!L34*'(Tables)'!B265</f>
        <v>0</v>
      </c>
      <c r="D199" s="69">
        <f t="shared" si="47"/>
        <v>0</v>
      </c>
    </row>
    <row r="200" spans="1:11" ht="12.75" customHeight="1" x14ac:dyDescent="0.2">
      <c r="A200" s="117" t="str">
        <f>Labels!B142</f>
        <v>Income Tax</v>
      </c>
      <c r="B200" s="120">
        <f>'Blended Fin'!L25*'(Tables)'!B264</f>
        <v>0</v>
      </c>
      <c r="C200" s="120">
        <f>'Blended Fin'!L35*'(Tables)'!B265</f>
        <v>0</v>
      </c>
      <c r="D200" s="69">
        <f t="shared" si="47"/>
        <v>0</v>
      </c>
    </row>
    <row r="201" spans="1:11" ht="12.75" customHeight="1" x14ac:dyDescent="0.2">
      <c r="A201" s="12" t="str">
        <f>Labels!C134</f>
        <v>Total</v>
      </c>
      <c r="B201" s="107">
        <f>SUM(B193:B200)</f>
        <v>0</v>
      </c>
      <c r="C201" s="107">
        <f>SUM(C193:C200)</f>
        <v>0</v>
      </c>
      <c r="D201" s="108">
        <f>SUM(D193:D200)</f>
        <v>0</v>
      </c>
    </row>
    <row r="202" spans="1:11" ht="12.75" customHeight="1" x14ac:dyDescent="0.2">
      <c r="A202" s="1" t="str">
        <f>"Revenue_1"</f>
        <v>Revenue_1</v>
      </c>
    </row>
    <row r="203" spans="1:11" ht="12.75" customHeight="1" x14ac:dyDescent="0.2">
      <c r="B203" s="17" t="str">
        <f>'(FnCalls 1)'!G7</f>
        <v>Q1 2011</v>
      </c>
      <c r="C203" s="18" t="str">
        <f>'(FnCalls 1)'!G8</f>
        <v>Q2 2011</v>
      </c>
      <c r="D203" s="18" t="str">
        <f>'(FnCalls 1)'!G9</f>
        <v>Q3 2011</v>
      </c>
      <c r="E203" s="18" t="str">
        <f>'(FnCalls 1)'!G10</f>
        <v>Q4 2011</v>
      </c>
      <c r="F203" s="62" t="str">
        <f>'(FnCalls 1)'!H7</f>
        <v>2011</v>
      </c>
      <c r="G203" s="18" t="str">
        <f>'(FnCalls 1)'!G11</f>
        <v>Q1 2012</v>
      </c>
      <c r="H203" s="18" t="str">
        <f>'(FnCalls 1)'!G12</f>
        <v>Q2 2012</v>
      </c>
      <c r="I203" s="18" t="str">
        <f>'(FnCalls 1)'!G13</f>
        <v>Q3 2012</v>
      </c>
      <c r="J203" s="18" t="str">
        <f>'(FnCalls 1)'!G14</f>
        <v>Q4 2012</v>
      </c>
      <c r="K203" s="62" t="str">
        <f>'(FnCalls 1)'!H11</f>
        <v>2012</v>
      </c>
    </row>
    <row r="204" spans="1:11" ht="12.75" customHeight="1" x14ac:dyDescent="0.2">
      <c r="A204" s="12"/>
      <c r="B204" s="206">
        <f>'(FnCalls 1)'!A7</f>
        <v>40544</v>
      </c>
      <c r="C204" s="206">
        <f>'(FnCalls 1)'!A8</f>
        <v>40634</v>
      </c>
      <c r="D204" s="206">
        <f>'(FnCalls 1)'!A9</f>
        <v>40725</v>
      </c>
      <c r="E204" s="206">
        <f>'(FnCalls 1)'!A10</f>
        <v>40817</v>
      </c>
      <c r="F204" s="208">
        <f>'(FnCalls 1)'!A7</f>
        <v>40544</v>
      </c>
      <c r="G204" s="206">
        <f>'(FnCalls 1)'!A11</f>
        <v>40909</v>
      </c>
      <c r="H204" s="206">
        <f>'(FnCalls 1)'!A12</f>
        <v>41000</v>
      </c>
      <c r="I204" s="206">
        <f>'(FnCalls 1)'!A13</f>
        <v>41091</v>
      </c>
      <c r="J204" s="206">
        <f>'(FnCalls 1)'!A14</f>
        <v>41183</v>
      </c>
      <c r="K204" s="208">
        <f>'(FnCalls 1)'!A11</f>
        <v>40909</v>
      </c>
    </row>
    <row r="205" spans="1:11" ht="12.75" customHeight="1" x14ac:dyDescent="0.2">
      <c r="A205" s="1" t="str">
        <f>"Revenue_2"</f>
        <v>Revenue_2</v>
      </c>
    </row>
    <row r="206" spans="1:11" ht="12.75" customHeight="1" x14ac:dyDescent="0.2">
      <c r="B206" s="17" t="str">
        <f>'(FnCalls 1)'!G7</f>
        <v>Q1 2011</v>
      </c>
      <c r="C206" s="18" t="str">
        <f>'(FnCalls 1)'!G8</f>
        <v>Q2 2011</v>
      </c>
      <c r="D206" s="18" t="str">
        <f>'(FnCalls 1)'!G9</f>
        <v>Q3 2011</v>
      </c>
      <c r="E206" s="18" t="str">
        <f>'(FnCalls 1)'!G10</f>
        <v>Q4 2011</v>
      </c>
      <c r="F206" s="62" t="str">
        <f>'(FnCalls 1)'!H7</f>
        <v>2011</v>
      </c>
      <c r="G206" s="18" t="str">
        <f>'(FnCalls 1)'!G11</f>
        <v>Q1 2012</v>
      </c>
      <c r="H206" s="18" t="str">
        <f>'(FnCalls 1)'!G12</f>
        <v>Q2 2012</v>
      </c>
      <c r="I206" s="18" t="str">
        <f>'(FnCalls 1)'!G13</f>
        <v>Q3 2012</v>
      </c>
      <c r="J206" s="18" t="str">
        <f>'(FnCalls 1)'!G14</f>
        <v>Q4 2012</v>
      </c>
      <c r="K206" s="62" t="str">
        <f>'(FnCalls 1)'!H11</f>
        <v>2012</v>
      </c>
    </row>
    <row r="207" spans="1:11" ht="12.75" customHeight="1" x14ac:dyDescent="0.2">
      <c r="A207" s="12"/>
      <c r="B207" s="206" t="str">
        <f>'(FnCalls 1)'!G7</f>
        <v>Q1 2011</v>
      </c>
      <c r="C207" s="206" t="str">
        <f>'(FnCalls 1)'!G8</f>
        <v>Q2 2011</v>
      </c>
      <c r="D207" s="206" t="str">
        <f>'(FnCalls 1)'!G9</f>
        <v>Q3 2011</v>
      </c>
      <c r="E207" s="206" t="str">
        <f>'(FnCalls 1)'!G10</f>
        <v>Q4 2011</v>
      </c>
      <c r="F207" s="208" t="str">
        <f>'(FnCalls 1)'!G7</f>
        <v>Q1 2011</v>
      </c>
      <c r="G207" s="206" t="str">
        <f>'(FnCalls 1)'!G11</f>
        <v>Q1 2012</v>
      </c>
      <c r="H207" s="206" t="str">
        <f>'(FnCalls 1)'!G12</f>
        <v>Q2 2012</v>
      </c>
      <c r="I207" s="206" t="str">
        <f>'(FnCalls 1)'!G13</f>
        <v>Q3 2012</v>
      </c>
      <c r="J207" s="206" t="str">
        <f>'(FnCalls 1)'!G14</f>
        <v>Q4 2012</v>
      </c>
      <c r="K207" s="208" t="str">
        <f>'(FnCalls 1)'!G11</f>
        <v>Q1 2012</v>
      </c>
    </row>
    <row r="208" spans="1:11" ht="12.75" customHeight="1" x14ac:dyDescent="0.2">
      <c r="A208" s="1" t="str">
        <f>"Expense_Oper_Fixed_1"</f>
        <v>Expense_Oper_Fixed_1</v>
      </c>
    </row>
    <row r="209" spans="1:13" ht="12.75" customHeight="1" x14ac:dyDescent="0.2">
      <c r="B209" s="17" t="str">
        <f>'(FnCalls 1)'!G7</f>
        <v>Q1 2011</v>
      </c>
      <c r="C209" s="18" t="str">
        <f>'(FnCalls 1)'!G8</f>
        <v>Q2 2011</v>
      </c>
      <c r="D209" s="18" t="str">
        <f>'(FnCalls 1)'!G9</f>
        <v>Q3 2011</v>
      </c>
      <c r="E209" s="18" t="str">
        <f>'(FnCalls 1)'!G10</f>
        <v>Q4 2011</v>
      </c>
      <c r="F209" s="62" t="str">
        <f>'(FnCalls 1)'!H7</f>
        <v>2011</v>
      </c>
      <c r="G209" s="18" t="str">
        <f>'(FnCalls 1)'!G11</f>
        <v>Q1 2012</v>
      </c>
      <c r="H209" s="18" t="str">
        <f>'(FnCalls 1)'!G12</f>
        <v>Q2 2012</v>
      </c>
      <c r="I209" s="18" t="str">
        <f>'(FnCalls 1)'!G13</f>
        <v>Q3 2012</v>
      </c>
      <c r="J209" s="18" t="str">
        <f>'(FnCalls 1)'!G14</f>
        <v>Q4 2012</v>
      </c>
      <c r="K209" s="62" t="str">
        <f>'(FnCalls 1)'!H11</f>
        <v>2012</v>
      </c>
    </row>
    <row r="210" spans="1:13" ht="12.75" customHeight="1" x14ac:dyDescent="0.2">
      <c r="A210" s="12"/>
      <c r="B210" s="206">
        <f>'(FnCalls 1)'!A7</f>
        <v>40544</v>
      </c>
      <c r="C210" s="206">
        <f>'(FnCalls 1)'!A8</f>
        <v>40634</v>
      </c>
      <c r="D210" s="206">
        <f>'(FnCalls 1)'!A9</f>
        <v>40725</v>
      </c>
      <c r="E210" s="206">
        <f>'(FnCalls 1)'!A10</f>
        <v>40817</v>
      </c>
      <c r="F210" s="208">
        <f>'(FnCalls 1)'!A7</f>
        <v>40544</v>
      </c>
      <c r="G210" s="206">
        <f>'(FnCalls 1)'!A11</f>
        <v>40909</v>
      </c>
      <c r="H210" s="206">
        <f>'(FnCalls 1)'!A12</f>
        <v>41000</v>
      </c>
      <c r="I210" s="206">
        <f>'(FnCalls 1)'!A13</f>
        <v>41091</v>
      </c>
      <c r="J210" s="206">
        <f>'(FnCalls 1)'!A14</f>
        <v>41183</v>
      </c>
      <c r="K210" s="208">
        <f>'(FnCalls 1)'!A11</f>
        <v>40909</v>
      </c>
    </row>
    <row r="211" spans="1:13" ht="12.75" customHeight="1" x14ac:dyDescent="0.2">
      <c r="A211" s="1" t="str">
        <f>"Expense_Oper_Fixed_2"</f>
        <v>Expense_Oper_Fixed_2</v>
      </c>
    </row>
    <row r="212" spans="1:13" ht="12.75" customHeight="1" x14ac:dyDescent="0.2">
      <c r="B212" s="17" t="str">
        <f>'(FnCalls 1)'!G7</f>
        <v>Q1 2011</v>
      </c>
      <c r="C212" s="18" t="str">
        <f>'(FnCalls 1)'!G8</f>
        <v>Q2 2011</v>
      </c>
      <c r="D212" s="18" t="str">
        <f>'(FnCalls 1)'!G9</f>
        <v>Q3 2011</v>
      </c>
      <c r="E212" s="18" t="str">
        <f>'(FnCalls 1)'!G10</f>
        <v>Q4 2011</v>
      </c>
      <c r="F212" s="62" t="str">
        <f>'(FnCalls 1)'!H7</f>
        <v>2011</v>
      </c>
      <c r="G212" s="18" t="str">
        <f>'(FnCalls 1)'!G11</f>
        <v>Q1 2012</v>
      </c>
      <c r="H212" s="18" t="str">
        <f>'(FnCalls 1)'!G12</f>
        <v>Q2 2012</v>
      </c>
      <c r="I212" s="18" t="str">
        <f>'(FnCalls 1)'!G13</f>
        <v>Q3 2012</v>
      </c>
      <c r="J212" s="18" t="str">
        <f>'(FnCalls 1)'!G14</f>
        <v>Q4 2012</v>
      </c>
      <c r="K212" s="62" t="str">
        <f>'(FnCalls 1)'!H11</f>
        <v>2012</v>
      </c>
    </row>
    <row r="213" spans="1:13" ht="12.75" customHeight="1" x14ac:dyDescent="0.2">
      <c r="A213" s="12"/>
      <c r="B213" s="206" t="str">
        <f>'(FnCalls 1)'!G7</f>
        <v>Q1 2011</v>
      </c>
      <c r="C213" s="206" t="str">
        <f>'(FnCalls 1)'!G8</f>
        <v>Q2 2011</v>
      </c>
      <c r="D213" s="206" t="str">
        <f>'(FnCalls 1)'!G9</f>
        <v>Q3 2011</v>
      </c>
      <c r="E213" s="206" t="str">
        <f>'(FnCalls 1)'!G10</f>
        <v>Q4 2011</v>
      </c>
      <c r="F213" s="208" t="str">
        <f>'(FnCalls 1)'!G7</f>
        <v>Q1 2011</v>
      </c>
      <c r="G213" s="206" t="str">
        <f>'(FnCalls 1)'!G11</f>
        <v>Q1 2012</v>
      </c>
      <c r="H213" s="206" t="str">
        <f>'(FnCalls 1)'!G12</f>
        <v>Q2 2012</v>
      </c>
      <c r="I213" s="206" t="str">
        <f>'(FnCalls 1)'!G13</f>
        <v>Q3 2012</v>
      </c>
      <c r="J213" s="206" t="str">
        <f>'(FnCalls 1)'!G14</f>
        <v>Q4 2012</v>
      </c>
      <c r="K213" s="208" t="str">
        <f>'(FnCalls 1)'!G11</f>
        <v>Q1 2012</v>
      </c>
    </row>
    <row r="214" spans="1:13" ht="12.75" customHeight="1" x14ac:dyDescent="0.2">
      <c r="A214" s="1" t="str">
        <f>"Expense_Oper_Variable_2"</f>
        <v>Expense_Oper_Variable_2</v>
      </c>
    </row>
    <row r="215" spans="1:13" ht="12.75" customHeight="1" x14ac:dyDescent="0.2">
      <c r="B215" s="17" t="str">
        <f>'(FnCalls 1)'!G7</f>
        <v>Q1 2011</v>
      </c>
      <c r="C215" s="18" t="str">
        <f>'(FnCalls 1)'!G8</f>
        <v>Q2 2011</v>
      </c>
      <c r="D215" s="18" t="str">
        <f>'(FnCalls 1)'!G9</f>
        <v>Q3 2011</v>
      </c>
      <c r="E215" s="18" t="str">
        <f>'(FnCalls 1)'!G10</f>
        <v>Q4 2011</v>
      </c>
      <c r="F215" s="62" t="str">
        <f>'(FnCalls 1)'!H7</f>
        <v>2011</v>
      </c>
      <c r="G215" s="18" t="str">
        <f>'(FnCalls 1)'!G11</f>
        <v>Q1 2012</v>
      </c>
      <c r="H215" s="18" t="str">
        <f>'(FnCalls 1)'!G12</f>
        <v>Q2 2012</v>
      </c>
      <c r="I215" s="18" t="str">
        <f>'(FnCalls 1)'!G13</f>
        <v>Q3 2012</v>
      </c>
      <c r="J215" s="18" t="str">
        <f>'(FnCalls 1)'!G14</f>
        <v>Q4 2012</v>
      </c>
      <c r="K215" s="62" t="str">
        <f>'(FnCalls 1)'!H11</f>
        <v>2012</v>
      </c>
    </row>
    <row r="216" spans="1:13" ht="12.75" customHeight="1" x14ac:dyDescent="0.2">
      <c r="A216" s="12"/>
      <c r="B216" s="206">
        <f>'(FnCalls 1)'!A7</f>
        <v>40544</v>
      </c>
      <c r="C216" s="206">
        <f>'(FnCalls 1)'!A8</f>
        <v>40634</v>
      </c>
      <c r="D216" s="206">
        <f>'(FnCalls 1)'!A9</f>
        <v>40725</v>
      </c>
      <c r="E216" s="206">
        <f>'(FnCalls 1)'!A10</f>
        <v>40817</v>
      </c>
      <c r="F216" s="208">
        <f>'(FnCalls 1)'!A7</f>
        <v>40544</v>
      </c>
      <c r="G216" s="206">
        <f>'(FnCalls 1)'!A11</f>
        <v>40909</v>
      </c>
      <c r="H216" s="206">
        <f>'(FnCalls 1)'!A12</f>
        <v>41000</v>
      </c>
      <c r="I216" s="206">
        <f>'(FnCalls 1)'!A13</f>
        <v>41091</v>
      </c>
      <c r="J216" s="206">
        <f>'(FnCalls 1)'!A14</f>
        <v>41183</v>
      </c>
      <c r="K216" s="208">
        <f>'(FnCalls 1)'!A11</f>
        <v>40909</v>
      </c>
    </row>
    <row r="217" spans="1:13" ht="12.75" customHeight="1" x14ac:dyDescent="0.2">
      <c r="A217" s="1" t="str">
        <f>"Expense_Oper_Variable_3"</f>
        <v>Expense_Oper_Variable_3</v>
      </c>
    </row>
    <row r="218" spans="1:13" ht="12.75" customHeight="1" x14ac:dyDescent="0.2">
      <c r="B218" s="17" t="str">
        <f>'(FnCalls 1)'!G7</f>
        <v>Q1 2011</v>
      </c>
      <c r="C218" s="18" t="str">
        <f>'(FnCalls 1)'!G8</f>
        <v>Q2 2011</v>
      </c>
      <c r="D218" s="18" t="str">
        <f>'(FnCalls 1)'!G9</f>
        <v>Q3 2011</v>
      </c>
      <c r="E218" s="18" t="str">
        <f>'(FnCalls 1)'!G10</f>
        <v>Q4 2011</v>
      </c>
      <c r="F218" s="62" t="str">
        <f>'(FnCalls 1)'!H7</f>
        <v>2011</v>
      </c>
      <c r="G218" s="18" t="str">
        <f>'(FnCalls 1)'!G11</f>
        <v>Q1 2012</v>
      </c>
      <c r="H218" s="18" t="str">
        <f>'(FnCalls 1)'!G12</f>
        <v>Q2 2012</v>
      </c>
      <c r="I218" s="18" t="str">
        <f>'(FnCalls 1)'!G13</f>
        <v>Q3 2012</v>
      </c>
      <c r="J218" s="18" t="str">
        <f>'(FnCalls 1)'!G14</f>
        <v>Q4 2012</v>
      </c>
      <c r="K218" s="62" t="str">
        <f>'(FnCalls 1)'!H11</f>
        <v>2012</v>
      </c>
    </row>
    <row r="219" spans="1:13" ht="12.75" customHeight="1" x14ac:dyDescent="0.2">
      <c r="A219" s="12"/>
      <c r="B219" s="206" t="str">
        <f>'(FnCalls 1)'!G7</f>
        <v>Q1 2011</v>
      </c>
      <c r="C219" s="206" t="str">
        <f>'(FnCalls 1)'!G8</f>
        <v>Q2 2011</v>
      </c>
      <c r="D219" s="206" t="str">
        <f>'(FnCalls 1)'!G9</f>
        <v>Q3 2011</v>
      </c>
      <c r="E219" s="206" t="str">
        <f>'(FnCalls 1)'!G10</f>
        <v>Q4 2011</v>
      </c>
      <c r="F219" s="208" t="str">
        <f>'(FnCalls 1)'!G7</f>
        <v>Q1 2011</v>
      </c>
      <c r="G219" s="206" t="str">
        <f>'(FnCalls 1)'!G11</f>
        <v>Q1 2012</v>
      </c>
      <c r="H219" s="206" t="str">
        <f>'(FnCalls 1)'!G12</f>
        <v>Q2 2012</v>
      </c>
      <c r="I219" s="206" t="str">
        <f>'(FnCalls 1)'!G13</f>
        <v>Q3 2012</v>
      </c>
      <c r="J219" s="206" t="str">
        <f>'(FnCalls 1)'!G14</f>
        <v>Q4 2012</v>
      </c>
      <c r="K219" s="208" t="str">
        <f>'(FnCalls 1)'!G11</f>
        <v>Q1 2012</v>
      </c>
    </row>
    <row r="220" spans="1:13" ht="12.75" customHeight="1" x14ac:dyDescent="0.2">
      <c r="A220" s="1" t="str">
        <f>"Book_Value_End_1"</f>
        <v>Book_Value_End_1</v>
      </c>
    </row>
    <row r="221" spans="1:13" ht="12.75" customHeight="1" x14ac:dyDescent="0.2">
      <c r="B221" s="17" t="str">
        <f>'(FnCalls 1)'!G6</f>
        <v>Q4 2010</v>
      </c>
      <c r="C221" s="62" t="str">
        <f>'(FnCalls 1)'!H4</f>
        <v>2010</v>
      </c>
      <c r="D221" s="18" t="str">
        <f>'(FnCalls 1)'!G7</f>
        <v>Q1 2011</v>
      </c>
      <c r="E221" s="18" t="str">
        <f>'(FnCalls 1)'!G8</f>
        <v>Q2 2011</v>
      </c>
      <c r="F221" s="18" t="str">
        <f>'(FnCalls 1)'!G9</f>
        <v>Q3 2011</v>
      </c>
      <c r="G221" s="18" t="str">
        <f>'(FnCalls 1)'!G10</f>
        <v>Q4 2011</v>
      </c>
      <c r="H221" s="62" t="str">
        <f>'(FnCalls 1)'!H7</f>
        <v>2011</v>
      </c>
      <c r="I221" s="18" t="str">
        <f>'(FnCalls 1)'!G11</f>
        <v>Q1 2012</v>
      </c>
      <c r="J221" s="18" t="str">
        <f>'(FnCalls 1)'!G12</f>
        <v>Q2 2012</v>
      </c>
      <c r="K221" s="18" t="str">
        <f>'(FnCalls 1)'!G13</f>
        <v>Q3 2012</v>
      </c>
      <c r="L221" s="18" t="str">
        <f>'(FnCalls 1)'!G14</f>
        <v>Q4 2012</v>
      </c>
      <c r="M221" s="62" t="str">
        <f>'(FnCalls 1)'!H11</f>
        <v>2012</v>
      </c>
    </row>
    <row r="222" spans="1:13" ht="12.75" customHeight="1" x14ac:dyDescent="0.2">
      <c r="A222" s="12"/>
      <c r="B222" s="206">
        <f>'(FnCalls 1)'!A6</f>
        <v>40452</v>
      </c>
      <c r="C222" s="208">
        <f>'(FnCalls 1)'!A4</f>
        <v>40179</v>
      </c>
      <c r="D222" s="206">
        <f>'(FnCalls 1)'!A7</f>
        <v>40544</v>
      </c>
      <c r="E222" s="206">
        <f>'(FnCalls 1)'!A8</f>
        <v>40634</v>
      </c>
      <c r="F222" s="206">
        <f>'(FnCalls 1)'!A9</f>
        <v>40725</v>
      </c>
      <c r="G222" s="206">
        <f>'(FnCalls 1)'!A10</f>
        <v>40817</v>
      </c>
      <c r="H222" s="208">
        <f>'(FnCalls 1)'!A7</f>
        <v>40544</v>
      </c>
      <c r="I222" s="206">
        <f>'(FnCalls 1)'!A11</f>
        <v>40909</v>
      </c>
      <c r="J222" s="206">
        <f>'(FnCalls 1)'!A12</f>
        <v>41000</v>
      </c>
      <c r="K222" s="206">
        <f>'(FnCalls 1)'!A13</f>
        <v>41091</v>
      </c>
      <c r="L222" s="206">
        <f>'(FnCalls 1)'!A14</f>
        <v>41183</v>
      </c>
      <c r="M222" s="208">
        <f>'(FnCalls 1)'!A11</f>
        <v>40909</v>
      </c>
    </row>
    <row r="223" spans="1:13" ht="12.75" customHeight="1" x14ac:dyDescent="0.2">
      <c r="A223" s="1" t="str">
        <f>"Book_Value_End_2"</f>
        <v>Book_Value_End_2</v>
      </c>
    </row>
    <row r="224" spans="1:13" ht="12.75" customHeight="1" x14ac:dyDescent="0.2">
      <c r="B224" s="17" t="str">
        <f>'(FnCalls 1)'!G6</f>
        <v>Q4 2010</v>
      </c>
      <c r="C224" s="62" t="str">
        <f>'(FnCalls 1)'!H4</f>
        <v>2010</v>
      </c>
      <c r="D224" s="18" t="str">
        <f>'(FnCalls 1)'!G7</f>
        <v>Q1 2011</v>
      </c>
      <c r="E224" s="18" t="str">
        <f>'(FnCalls 1)'!G8</f>
        <v>Q2 2011</v>
      </c>
      <c r="F224" s="18" t="str">
        <f>'(FnCalls 1)'!G9</f>
        <v>Q3 2011</v>
      </c>
      <c r="G224" s="18" t="str">
        <f>'(FnCalls 1)'!G10</f>
        <v>Q4 2011</v>
      </c>
      <c r="H224" s="62" t="str">
        <f>'(FnCalls 1)'!H7</f>
        <v>2011</v>
      </c>
      <c r="I224" s="18" t="str">
        <f>'(FnCalls 1)'!G11</f>
        <v>Q1 2012</v>
      </c>
      <c r="J224" s="18" t="str">
        <f>'(FnCalls 1)'!G12</f>
        <v>Q2 2012</v>
      </c>
      <c r="K224" s="18" t="str">
        <f>'(FnCalls 1)'!G13</f>
        <v>Q3 2012</v>
      </c>
      <c r="L224" s="18" t="str">
        <f>'(FnCalls 1)'!G14</f>
        <v>Q4 2012</v>
      </c>
      <c r="M224" s="62" t="str">
        <f>'(FnCalls 1)'!H11</f>
        <v>2012</v>
      </c>
    </row>
    <row r="225" spans="1:13" ht="12.75" customHeight="1" x14ac:dyDescent="0.2">
      <c r="A225" s="12"/>
      <c r="B225" s="206" t="str">
        <f>'(FnCalls 1)'!G6</f>
        <v>Q4 2010</v>
      </c>
      <c r="C225" s="208" t="str">
        <f>'(FnCalls 1)'!G4</f>
        <v>Q1 2010</v>
      </c>
      <c r="D225" s="206" t="str">
        <f>'(FnCalls 1)'!G7</f>
        <v>Q1 2011</v>
      </c>
      <c r="E225" s="206" t="str">
        <f>'(FnCalls 1)'!G8</f>
        <v>Q2 2011</v>
      </c>
      <c r="F225" s="206" t="str">
        <f>'(FnCalls 1)'!G9</f>
        <v>Q3 2011</v>
      </c>
      <c r="G225" s="206" t="str">
        <f>'(FnCalls 1)'!G10</f>
        <v>Q4 2011</v>
      </c>
      <c r="H225" s="208" t="str">
        <f>'(FnCalls 1)'!G7</f>
        <v>Q1 2011</v>
      </c>
      <c r="I225" s="206" t="str">
        <f>'(FnCalls 1)'!G11</f>
        <v>Q1 2012</v>
      </c>
      <c r="J225" s="206" t="str">
        <f>'(FnCalls 1)'!G12</f>
        <v>Q2 2012</v>
      </c>
      <c r="K225" s="206" t="str">
        <f>'(FnCalls 1)'!G13</f>
        <v>Q3 2012</v>
      </c>
      <c r="L225" s="206" t="str">
        <f>'(FnCalls 1)'!G14</f>
        <v>Q4 2012</v>
      </c>
      <c r="M225" s="208" t="str">
        <f>'(FnCalls 1)'!G11</f>
        <v>Q1 2012</v>
      </c>
    </row>
    <row r="226" spans="1:13" ht="12.75" customHeight="1" x14ac:dyDescent="0.2">
      <c r="A226" s="1" t="str">
        <f>"Book_Value_Fixed_End_1"</f>
        <v>Book_Value_Fixed_End_1</v>
      </c>
    </row>
    <row r="227" spans="1:13" ht="12.75" customHeight="1" x14ac:dyDescent="0.2">
      <c r="B227" s="17" t="str">
        <f>'(FnCalls 1)'!G6</f>
        <v>Q4 2010</v>
      </c>
      <c r="C227" s="62" t="str">
        <f>'(FnCalls 1)'!H4</f>
        <v>2010</v>
      </c>
      <c r="D227" s="18" t="str">
        <f>'(FnCalls 1)'!G7</f>
        <v>Q1 2011</v>
      </c>
      <c r="E227" s="18" t="str">
        <f>'(FnCalls 1)'!G8</f>
        <v>Q2 2011</v>
      </c>
      <c r="F227" s="18" t="str">
        <f>'(FnCalls 1)'!G9</f>
        <v>Q3 2011</v>
      </c>
      <c r="G227" s="18" t="str">
        <f>'(FnCalls 1)'!G10</f>
        <v>Q4 2011</v>
      </c>
      <c r="H227" s="62" t="str">
        <f>'(FnCalls 1)'!H7</f>
        <v>2011</v>
      </c>
      <c r="I227" s="18" t="str">
        <f>'(FnCalls 1)'!G11</f>
        <v>Q1 2012</v>
      </c>
      <c r="J227" s="18" t="str">
        <f>'(FnCalls 1)'!G12</f>
        <v>Q2 2012</v>
      </c>
      <c r="K227" s="18" t="str">
        <f>'(FnCalls 1)'!G13</f>
        <v>Q3 2012</v>
      </c>
      <c r="L227" s="18" t="str">
        <f>'(FnCalls 1)'!G14</f>
        <v>Q4 2012</v>
      </c>
      <c r="M227" s="62" t="str">
        <f>'(FnCalls 1)'!H11</f>
        <v>2012</v>
      </c>
    </row>
    <row r="228" spans="1:13" ht="12.75" customHeight="1" x14ac:dyDescent="0.2">
      <c r="A228" s="12"/>
      <c r="B228" s="206">
        <f>'(FnCalls 1)'!A6</f>
        <v>40452</v>
      </c>
      <c r="C228" s="208">
        <f>'(FnCalls 1)'!A4</f>
        <v>40179</v>
      </c>
      <c r="D228" s="206">
        <f>'(FnCalls 1)'!A7</f>
        <v>40544</v>
      </c>
      <c r="E228" s="206">
        <f>'(FnCalls 1)'!A8</f>
        <v>40634</v>
      </c>
      <c r="F228" s="206">
        <f>'(FnCalls 1)'!A9</f>
        <v>40725</v>
      </c>
      <c r="G228" s="206">
        <f>'(FnCalls 1)'!A10</f>
        <v>40817</v>
      </c>
      <c r="H228" s="208">
        <f>'(FnCalls 1)'!A7</f>
        <v>40544</v>
      </c>
      <c r="I228" s="206">
        <f>'(FnCalls 1)'!A11</f>
        <v>40909</v>
      </c>
      <c r="J228" s="206">
        <f>'(FnCalls 1)'!A12</f>
        <v>41000</v>
      </c>
      <c r="K228" s="206">
        <f>'(FnCalls 1)'!A13</f>
        <v>41091</v>
      </c>
      <c r="L228" s="206">
        <f>'(FnCalls 1)'!A14</f>
        <v>41183</v>
      </c>
      <c r="M228" s="208">
        <f>'(FnCalls 1)'!A11</f>
        <v>40909</v>
      </c>
    </row>
    <row r="229" spans="1:13" ht="12.75" customHeight="1" x14ac:dyDescent="0.2">
      <c r="A229" s="1" t="str">
        <f>"Book_Value_Fixed_End_2"</f>
        <v>Book_Value_Fixed_End_2</v>
      </c>
    </row>
    <row r="230" spans="1:13" ht="12.75" customHeight="1" x14ac:dyDescent="0.2">
      <c r="B230" s="17" t="str">
        <f>'(FnCalls 1)'!G6</f>
        <v>Q4 2010</v>
      </c>
      <c r="C230" s="62" t="str">
        <f>'(FnCalls 1)'!H4</f>
        <v>2010</v>
      </c>
      <c r="D230" s="18" t="str">
        <f>'(FnCalls 1)'!G7</f>
        <v>Q1 2011</v>
      </c>
      <c r="E230" s="18" t="str">
        <f>'(FnCalls 1)'!G8</f>
        <v>Q2 2011</v>
      </c>
      <c r="F230" s="18" t="str">
        <f>'(FnCalls 1)'!G9</f>
        <v>Q3 2011</v>
      </c>
      <c r="G230" s="18" t="str">
        <f>'(FnCalls 1)'!G10</f>
        <v>Q4 2011</v>
      </c>
      <c r="H230" s="62" t="str">
        <f>'(FnCalls 1)'!H7</f>
        <v>2011</v>
      </c>
      <c r="I230" s="18" t="str">
        <f>'(FnCalls 1)'!G11</f>
        <v>Q1 2012</v>
      </c>
      <c r="J230" s="18" t="str">
        <f>'(FnCalls 1)'!G12</f>
        <v>Q2 2012</v>
      </c>
      <c r="K230" s="18" t="str">
        <f>'(FnCalls 1)'!G13</f>
        <v>Q3 2012</v>
      </c>
      <c r="L230" s="18" t="str">
        <f>'(FnCalls 1)'!G14</f>
        <v>Q4 2012</v>
      </c>
      <c r="M230" s="62" t="str">
        <f>'(FnCalls 1)'!H11</f>
        <v>2012</v>
      </c>
    </row>
    <row r="231" spans="1:13" ht="12.75" customHeight="1" x14ac:dyDescent="0.2">
      <c r="A231" s="12"/>
      <c r="B231" s="206" t="str">
        <f>'(FnCalls 1)'!G6</f>
        <v>Q4 2010</v>
      </c>
      <c r="C231" s="208" t="str">
        <f>'(FnCalls 1)'!G4</f>
        <v>Q1 2010</v>
      </c>
      <c r="D231" s="206" t="str">
        <f>'(FnCalls 1)'!G7</f>
        <v>Q1 2011</v>
      </c>
      <c r="E231" s="206" t="str">
        <f>'(FnCalls 1)'!G8</f>
        <v>Q2 2011</v>
      </c>
      <c r="F231" s="206" t="str">
        <f>'(FnCalls 1)'!G9</f>
        <v>Q3 2011</v>
      </c>
      <c r="G231" s="206" t="str">
        <f>'(FnCalls 1)'!G10</f>
        <v>Q4 2011</v>
      </c>
      <c r="H231" s="208" t="str">
        <f>'(FnCalls 1)'!G7</f>
        <v>Q1 2011</v>
      </c>
      <c r="I231" s="206" t="str">
        <f>'(FnCalls 1)'!G11</f>
        <v>Q1 2012</v>
      </c>
      <c r="J231" s="206" t="str">
        <f>'(FnCalls 1)'!G12</f>
        <v>Q2 2012</v>
      </c>
      <c r="K231" s="206" t="str">
        <f>'(FnCalls 1)'!G13</f>
        <v>Q3 2012</v>
      </c>
      <c r="L231" s="206" t="str">
        <f>'(FnCalls 1)'!G14</f>
        <v>Q4 2012</v>
      </c>
      <c r="M231" s="208" t="str">
        <f>'(FnCalls 1)'!G11</f>
        <v>Q1 2012</v>
      </c>
    </row>
    <row r="232" spans="1:13" ht="12.75" customHeight="1" x14ac:dyDescent="0.2">
      <c r="A232" s="1" t="str">
        <f>"Capital_Average_2"</f>
        <v>Capital_Average_2</v>
      </c>
    </row>
    <row r="233" spans="1:13" ht="12.75" customHeight="1" x14ac:dyDescent="0.2">
      <c r="B233" s="17" t="str">
        <f>'(FnCalls 1)'!G7</f>
        <v>Q1 2011</v>
      </c>
      <c r="C233" s="18" t="str">
        <f>'(FnCalls 1)'!G8</f>
        <v>Q2 2011</v>
      </c>
      <c r="D233" s="18" t="str">
        <f>'(FnCalls 1)'!G9</f>
        <v>Q3 2011</v>
      </c>
      <c r="E233" s="18" t="str">
        <f>'(FnCalls 1)'!G10</f>
        <v>Q4 2011</v>
      </c>
      <c r="F233" s="62" t="str">
        <f>'(FnCalls 1)'!H7</f>
        <v>2011</v>
      </c>
      <c r="G233" s="18" t="str">
        <f>'(FnCalls 1)'!G11</f>
        <v>Q1 2012</v>
      </c>
      <c r="H233" s="18" t="str">
        <f>'(FnCalls 1)'!G12</f>
        <v>Q2 2012</v>
      </c>
      <c r="I233" s="18" t="str">
        <f>'(FnCalls 1)'!G13</f>
        <v>Q3 2012</v>
      </c>
      <c r="J233" s="18" t="str">
        <f>'(FnCalls 1)'!G14</f>
        <v>Q4 2012</v>
      </c>
      <c r="K233" s="62" t="str">
        <f>'(FnCalls 1)'!H11</f>
        <v>2012</v>
      </c>
    </row>
    <row r="234" spans="1:13" ht="12.75" customHeight="1" x14ac:dyDescent="0.2">
      <c r="A234" s="12"/>
      <c r="B234" s="206">
        <f>'(FnCalls 1)'!A7</f>
        <v>40544</v>
      </c>
      <c r="C234" s="206">
        <f>'(FnCalls 1)'!A8</f>
        <v>40634</v>
      </c>
      <c r="D234" s="206">
        <f>'(FnCalls 1)'!A9</f>
        <v>40725</v>
      </c>
      <c r="E234" s="206">
        <f>'(FnCalls 1)'!A10</f>
        <v>40817</v>
      </c>
      <c r="F234" s="208">
        <f>'(FnCalls 1)'!A7</f>
        <v>40544</v>
      </c>
      <c r="G234" s="206">
        <f>'(FnCalls 1)'!A11</f>
        <v>40909</v>
      </c>
      <c r="H234" s="206">
        <f>'(FnCalls 1)'!A12</f>
        <v>41000</v>
      </c>
      <c r="I234" s="206">
        <f>'(FnCalls 1)'!A13</f>
        <v>41091</v>
      </c>
      <c r="J234" s="206">
        <f>'(FnCalls 1)'!A14</f>
        <v>41183</v>
      </c>
      <c r="K234" s="208">
        <f>'(FnCalls 1)'!A11</f>
        <v>40909</v>
      </c>
    </row>
    <row r="235" spans="1:13" ht="12.75" customHeight="1" x14ac:dyDescent="0.2">
      <c r="A235" s="1" t="str">
        <f>"Capital_Average_3"</f>
        <v>Capital_Average_3</v>
      </c>
    </row>
    <row r="236" spans="1:13" ht="12.75" customHeight="1" x14ac:dyDescent="0.2">
      <c r="B236" s="17" t="str">
        <f>'(FnCalls 1)'!G7</f>
        <v>Q1 2011</v>
      </c>
      <c r="C236" s="18" t="str">
        <f>'(FnCalls 1)'!G8</f>
        <v>Q2 2011</v>
      </c>
      <c r="D236" s="18" t="str">
        <f>'(FnCalls 1)'!G9</f>
        <v>Q3 2011</v>
      </c>
      <c r="E236" s="18" t="str">
        <f>'(FnCalls 1)'!G10</f>
        <v>Q4 2011</v>
      </c>
      <c r="F236" s="62" t="str">
        <f>'(FnCalls 1)'!H7</f>
        <v>2011</v>
      </c>
      <c r="G236" s="18" t="str">
        <f>'(FnCalls 1)'!G11</f>
        <v>Q1 2012</v>
      </c>
      <c r="H236" s="18" t="str">
        <f>'(FnCalls 1)'!G12</f>
        <v>Q2 2012</v>
      </c>
      <c r="I236" s="18" t="str">
        <f>'(FnCalls 1)'!G13</f>
        <v>Q3 2012</v>
      </c>
      <c r="J236" s="18" t="str">
        <f>'(FnCalls 1)'!G14</f>
        <v>Q4 2012</v>
      </c>
      <c r="K236" s="62" t="str">
        <f>'(FnCalls 1)'!H11</f>
        <v>2012</v>
      </c>
    </row>
    <row r="237" spans="1:13" ht="12.75" customHeight="1" x14ac:dyDescent="0.2">
      <c r="A237" s="12"/>
      <c r="B237" s="206" t="str">
        <f>'(FnCalls 1)'!G7</f>
        <v>Q1 2011</v>
      </c>
      <c r="C237" s="206" t="str">
        <f>'(FnCalls 1)'!G8</f>
        <v>Q2 2011</v>
      </c>
      <c r="D237" s="206" t="str">
        <f>'(FnCalls 1)'!G9</f>
        <v>Q3 2011</v>
      </c>
      <c r="E237" s="206" t="str">
        <f>'(FnCalls 1)'!G10</f>
        <v>Q4 2011</v>
      </c>
      <c r="F237" s="208" t="str">
        <f>'(FnCalls 1)'!G7</f>
        <v>Q1 2011</v>
      </c>
      <c r="G237" s="206" t="str">
        <f>'(FnCalls 1)'!G11</f>
        <v>Q1 2012</v>
      </c>
      <c r="H237" s="206" t="str">
        <f>'(FnCalls 1)'!G12</f>
        <v>Q2 2012</v>
      </c>
      <c r="I237" s="206" t="str">
        <f>'(FnCalls 1)'!G13</f>
        <v>Q3 2012</v>
      </c>
      <c r="J237" s="206" t="str">
        <f>'(FnCalls 1)'!G14</f>
        <v>Q4 2012</v>
      </c>
      <c r="K237" s="208" t="str">
        <f>'(FnCalls 1)'!G11</f>
        <v>Q1 2012</v>
      </c>
    </row>
    <row r="238" spans="1:13" ht="12.75" customHeight="1" x14ac:dyDescent="0.2">
      <c r="A238" s="1" t="str">
        <f>"EBITDA_1"</f>
        <v>EBITDA_1</v>
      </c>
    </row>
    <row r="239" spans="1:13" ht="12.75" customHeight="1" x14ac:dyDescent="0.2">
      <c r="B239" s="17" t="str">
        <f>'(FnCalls 1)'!G7</f>
        <v>Q1 2011</v>
      </c>
      <c r="C239" s="18" t="str">
        <f>'(FnCalls 1)'!G8</f>
        <v>Q2 2011</v>
      </c>
      <c r="D239" s="18" t="str">
        <f>'(FnCalls 1)'!G9</f>
        <v>Q3 2011</v>
      </c>
      <c r="E239" s="18" t="str">
        <f>'(FnCalls 1)'!G10</f>
        <v>Q4 2011</v>
      </c>
      <c r="F239" s="62" t="str">
        <f>'(FnCalls 1)'!H7</f>
        <v>2011</v>
      </c>
      <c r="G239" s="18" t="str">
        <f>'(FnCalls 1)'!G11</f>
        <v>Q1 2012</v>
      </c>
      <c r="H239" s="18" t="str">
        <f>'(FnCalls 1)'!G12</f>
        <v>Q2 2012</v>
      </c>
      <c r="I239" s="18" t="str">
        <f>'(FnCalls 1)'!G13</f>
        <v>Q3 2012</v>
      </c>
      <c r="J239" s="18" t="str">
        <f>'(FnCalls 1)'!G14</f>
        <v>Q4 2012</v>
      </c>
      <c r="K239" s="62" t="str">
        <f>'(FnCalls 1)'!H11</f>
        <v>2012</v>
      </c>
    </row>
    <row r="240" spans="1:13" ht="12.75" customHeight="1" x14ac:dyDescent="0.2">
      <c r="A240" s="12"/>
      <c r="B240" s="206">
        <f>'(FnCalls 1)'!A7</f>
        <v>40544</v>
      </c>
      <c r="C240" s="206">
        <f>'(FnCalls 1)'!A8</f>
        <v>40634</v>
      </c>
      <c r="D240" s="206">
        <f>'(FnCalls 1)'!A9</f>
        <v>40725</v>
      </c>
      <c r="E240" s="206">
        <f>'(FnCalls 1)'!A10</f>
        <v>40817</v>
      </c>
      <c r="F240" s="208">
        <f>'(FnCalls 1)'!A7</f>
        <v>40544</v>
      </c>
      <c r="G240" s="206">
        <f>'(FnCalls 1)'!A11</f>
        <v>40909</v>
      </c>
      <c r="H240" s="206">
        <f>'(FnCalls 1)'!A12</f>
        <v>41000</v>
      </c>
      <c r="I240" s="206">
        <f>'(FnCalls 1)'!A13</f>
        <v>41091</v>
      </c>
      <c r="J240" s="206">
        <f>'(FnCalls 1)'!A14</f>
        <v>41183</v>
      </c>
      <c r="K240" s="208">
        <f>'(FnCalls 1)'!A11</f>
        <v>40909</v>
      </c>
    </row>
    <row r="241" spans="1:13" ht="12.75" customHeight="1" x14ac:dyDescent="0.2">
      <c r="A241" s="1" t="str">
        <f>"EBITDA_2"</f>
        <v>EBITDA_2</v>
      </c>
    </row>
    <row r="242" spans="1:13" ht="12.75" customHeight="1" x14ac:dyDescent="0.2">
      <c r="B242" s="17" t="str">
        <f>'(FnCalls 1)'!G7</f>
        <v>Q1 2011</v>
      </c>
      <c r="C242" s="18" t="str">
        <f>'(FnCalls 1)'!G8</f>
        <v>Q2 2011</v>
      </c>
      <c r="D242" s="18" t="str">
        <f>'(FnCalls 1)'!G9</f>
        <v>Q3 2011</v>
      </c>
      <c r="E242" s="18" t="str">
        <f>'(FnCalls 1)'!G10</f>
        <v>Q4 2011</v>
      </c>
      <c r="F242" s="62" t="str">
        <f>'(FnCalls 1)'!H7</f>
        <v>2011</v>
      </c>
      <c r="G242" s="18" t="str">
        <f>'(FnCalls 1)'!G11</f>
        <v>Q1 2012</v>
      </c>
      <c r="H242" s="18" t="str">
        <f>'(FnCalls 1)'!G12</f>
        <v>Q2 2012</v>
      </c>
      <c r="I242" s="18" t="str">
        <f>'(FnCalls 1)'!G13</f>
        <v>Q3 2012</v>
      </c>
      <c r="J242" s="18" t="str">
        <f>'(FnCalls 1)'!G14</f>
        <v>Q4 2012</v>
      </c>
      <c r="K242" s="62" t="str">
        <f>'(FnCalls 1)'!H11</f>
        <v>2012</v>
      </c>
    </row>
    <row r="243" spans="1:13" ht="12.75" customHeight="1" x14ac:dyDescent="0.2">
      <c r="A243" s="12"/>
      <c r="B243" s="206" t="str">
        <f>'(FnCalls 1)'!G7</f>
        <v>Q1 2011</v>
      </c>
      <c r="C243" s="206" t="str">
        <f>'(FnCalls 1)'!G8</f>
        <v>Q2 2011</v>
      </c>
      <c r="D243" s="206" t="str">
        <f>'(FnCalls 1)'!G9</f>
        <v>Q3 2011</v>
      </c>
      <c r="E243" s="206" t="str">
        <f>'(FnCalls 1)'!G10</f>
        <v>Q4 2011</v>
      </c>
      <c r="F243" s="208" t="str">
        <f>'(FnCalls 1)'!G7</f>
        <v>Q1 2011</v>
      </c>
      <c r="G243" s="206" t="str">
        <f>'(FnCalls 1)'!G11</f>
        <v>Q1 2012</v>
      </c>
      <c r="H243" s="206" t="str">
        <f>'(FnCalls 1)'!G12</f>
        <v>Q2 2012</v>
      </c>
      <c r="I243" s="206" t="str">
        <f>'(FnCalls 1)'!G13</f>
        <v>Q3 2012</v>
      </c>
      <c r="J243" s="206" t="str">
        <f>'(FnCalls 1)'!G14</f>
        <v>Q4 2012</v>
      </c>
      <c r="K243" s="208" t="str">
        <f>'(FnCalls 1)'!G11</f>
        <v>Q1 2012</v>
      </c>
    </row>
    <row r="244" spans="1:13" ht="12.75" customHeight="1" x14ac:dyDescent="0.2">
      <c r="A244" s="1" t="str">
        <f>"EBIT_1"</f>
        <v>EBIT_1</v>
      </c>
    </row>
    <row r="245" spans="1:13" ht="12.75" customHeight="1" x14ac:dyDescent="0.2">
      <c r="B245" s="17" t="str">
        <f>'(FnCalls 1)'!G7</f>
        <v>Q1 2011</v>
      </c>
      <c r="C245" s="18" t="str">
        <f>'(FnCalls 1)'!G8</f>
        <v>Q2 2011</v>
      </c>
      <c r="D245" s="18" t="str">
        <f>'(FnCalls 1)'!G9</f>
        <v>Q3 2011</v>
      </c>
      <c r="E245" s="18" t="str">
        <f>'(FnCalls 1)'!G10</f>
        <v>Q4 2011</v>
      </c>
      <c r="F245" s="62" t="str">
        <f>'(FnCalls 1)'!H7</f>
        <v>2011</v>
      </c>
      <c r="G245" s="18" t="str">
        <f>'(FnCalls 1)'!G11</f>
        <v>Q1 2012</v>
      </c>
      <c r="H245" s="18" t="str">
        <f>'(FnCalls 1)'!G12</f>
        <v>Q2 2012</v>
      </c>
      <c r="I245" s="18" t="str">
        <f>'(FnCalls 1)'!G13</f>
        <v>Q3 2012</v>
      </c>
      <c r="J245" s="18" t="str">
        <f>'(FnCalls 1)'!G14</f>
        <v>Q4 2012</v>
      </c>
      <c r="K245" s="62" t="str">
        <f>'(FnCalls 1)'!H11</f>
        <v>2012</v>
      </c>
    </row>
    <row r="246" spans="1:13" ht="12.75" customHeight="1" x14ac:dyDescent="0.2">
      <c r="A246" s="12"/>
      <c r="B246" s="206">
        <f>'(FnCalls 1)'!A7</f>
        <v>40544</v>
      </c>
      <c r="C246" s="206">
        <f>'(FnCalls 1)'!A8</f>
        <v>40634</v>
      </c>
      <c r="D246" s="206">
        <f>'(FnCalls 1)'!A9</f>
        <v>40725</v>
      </c>
      <c r="E246" s="206">
        <f>'(FnCalls 1)'!A10</f>
        <v>40817</v>
      </c>
      <c r="F246" s="208">
        <f>'(FnCalls 1)'!A7</f>
        <v>40544</v>
      </c>
      <c r="G246" s="206">
        <f>'(FnCalls 1)'!A11</f>
        <v>40909</v>
      </c>
      <c r="H246" s="206">
        <f>'(FnCalls 1)'!A12</f>
        <v>41000</v>
      </c>
      <c r="I246" s="206">
        <f>'(FnCalls 1)'!A13</f>
        <v>41091</v>
      </c>
      <c r="J246" s="206">
        <f>'(FnCalls 1)'!A14</f>
        <v>41183</v>
      </c>
      <c r="K246" s="208">
        <f>'(FnCalls 1)'!A11</f>
        <v>40909</v>
      </c>
    </row>
    <row r="247" spans="1:13" ht="12.75" customHeight="1" x14ac:dyDescent="0.2">
      <c r="A247" s="1" t="str">
        <f>"EBIT_2"</f>
        <v>EBIT_2</v>
      </c>
    </row>
    <row r="248" spans="1:13" ht="12.75" customHeight="1" x14ac:dyDescent="0.2">
      <c r="B248" s="17" t="str">
        <f>'(FnCalls 1)'!G7</f>
        <v>Q1 2011</v>
      </c>
      <c r="C248" s="18" t="str">
        <f>'(FnCalls 1)'!G8</f>
        <v>Q2 2011</v>
      </c>
      <c r="D248" s="18" t="str">
        <f>'(FnCalls 1)'!G9</f>
        <v>Q3 2011</v>
      </c>
      <c r="E248" s="18" t="str">
        <f>'(FnCalls 1)'!G10</f>
        <v>Q4 2011</v>
      </c>
      <c r="F248" s="62" t="str">
        <f>'(FnCalls 1)'!H7</f>
        <v>2011</v>
      </c>
      <c r="G248" s="18" t="str">
        <f>'(FnCalls 1)'!G11</f>
        <v>Q1 2012</v>
      </c>
      <c r="H248" s="18" t="str">
        <f>'(FnCalls 1)'!G12</f>
        <v>Q2 2012</v>
      </c>
      <c r="I248" s="18" t="str">
        <f>'(FnCalls 1)'!G13</f>
        <v>Q3 2012</v>
      </c>
      <c r="J248" s="18" t="str">
        <f>'(FnCalls 1)'!G14</f>
        <v>Q4 2012</v>
      </c>
      <c r="K248" s="62" t="str">
        <f>'(FnCalls 1)'!H11</f>
        <v>2012</v>
      </c>
    </row>
    <row r="249" spans="1:13" ht="12.75" customHeight="1" x14ac:dyDescent="0.2">
      <c r="A249" s="12"/>
      <c r="B249" s="206" t="str">
        <f>'(FnCalls 1)'!G7</f>
        <v>Q1 2011</v>
      </c>
      <c r="C249" s="206" t="str">
        <f>'(FnCalls 1)'!G8</f>
        <v>Q2 2011</v>
      </c>
      <c r="D249" s="206" t="str">
        <f>'(FnCalls 1)'!G9</f>
        <v>Q3 2011</v>
      </c>
      <c r="E249" s="206" t="str">
        <f>'(FnCalls 1)'!G10</f>
        <v>Q4 2011</v>
      </c>
      <c r="F249" s="208" t="str">
        <f>'(FnCalls 1)'!G7</f>
        <v>Q1 2011</v>
      </c>
      <c r="G249" s="206" t="str">
        <f>'(FnCalls 1)'!G11</f>
        <v>Q1 2012</v>
      </c>
      <c r="H249" s="206" t="str">
        <f>'(FnCalls 1)'!G12</f>
        <v>Q2 2012</v>
      </c>
      <c r="I249" s="206" t="str">
        <f>'(FnCalls 1)'!G13</f>
        <v>Q3 2012</v>
      </c>
      <c r="J249" s="206" t="str">
        <f>'(FnCalls 1)'!G14</f>
        <v>Q4 2012</v>
      </c>
      <c r="K249" s="208" t="str">
        <f>'(FnCalls 1)'!G11</f>
        <v>Q1 2012</v>
      </c>
    </row>
    <row r="250" spans="1:13" ht="12.75" customHeight="1" x14ac:dyDescent="0.2">
      <c r="A250" s="1" t="str">
        <f>"Cash_Flow_Work_Cap_2"</f>
        <v>Cash_Flow_Work_Cap_2</v>
      </c>
    </row>
    <row r="251" spans="1:13" ht="12.75" customHeight="1" x14ac:dyDescent="0.2">
      <c r="B251" s="17" t="str">
        <f>'(FnCalls 1)'!G6</f>
        <v>Q4 2010</v>
      </c>
      <c r="C251" s="62" t="str">
        <f>'(FnCalls 1)'!H4</f>
        <v>2010</v>
      </c>
      <c r="D251" s="18" t="str">
        <f>'(FnCalls 1)'!G7</f>
        <v>Q1 2011</v>
      </c>
      <c r="E251" s="18" t="str">
        <f>'(FnCalls 1)'!G8</f>
        <v>Q2 2011</v>
      </c>
      <c r="F251" s="18" t="str">
        <f>'(FnCalls 1)'!G9</f>
        <v>Q3 2011</v>
      </c>
      <c r="G251" s="18" t="str">
        <f>'(FnCalls 1)'!G10</f>
        <v>Q4 2011</v>
      </c>
      <c r="H251" s="62" t="str">
        <f>'(FnCalls 1)'!H7</f>
        <v>2011</v>
      </c>
      <c r="I251" s="18" t="str">
        <f>'(FnCalls 1)'!G11</f>
        <v>Q1 2012</v>
      </c>
      <c r="J251" s="18" t="str">
        <f>'(FnCalls 1)'!G12</f>
        <v>Q2 2012</v>
      </c>
      <c r="K251" s="18" t="str">
        <f>'(FnCalls 1)'!G13</f>
        <v>Q3 2012</v>
      </c>
      <c r="L251" s="18" t="str">
        <f>'(FnCalls 1)'!G14</f>
        <v>Q4 2012</v>
      </c>
      <c r="M251" s="62" t="str">
        <f>'(FnCalls 1)'!H11</f>
        <v>2012</v>
      </c>
    </row>
    <row r="252" spans="1:13" ht="12.75" customHeight="1" x14ac:dyDescent="0.2">
      <c r="A252" s="12"/>
      <c r="B252" s="206">
        <f>'(FnCalls 1)'!A6</f>
        <v>40452</v>
      </c>
      <c r="C252" s="208">
        <f>'(FnCalls 1)'!A4</f>
        <v>40179</v>
      </c>
      <c r="D252" s="206">
        <f>'(FnCalls 1)'!A7</f>
        <v>40544</v>
      </c>
      <c r="E252" s="206">
        <f>'(FnCalls 1)'!A8</f>
        <v>40634</v>
      </c>
      <c r="F252" s="206">
        <f>'(FnCalls 1)'!A9</f>
        <v>40725</v>
      </c>
      <c r="G252" s="206">
        <f>'(FnCalls 1)'!A10</f>
        <v>40817</v>
      </c>
      <c r="H252" s="208">
        <f>'(FnCalls 1)'!A7</f>
        <v>40544</v>
      </c>
      <c r="I252" s="206">
        <f>'(FnCalls 1)'!A11</f>
        <v>40909</v>
      </c>
      <c r="J252" s="206">
        <f>'(FnCalls 1)'!A12</f>
        <v>41000</v>
      </c>
      <c r="K252" s="206">
        <f>'(FnCalls 1)'!A13</f>
        <v>41091</v>
      </c>
      <c r="L252" s="206">
        <f>'(FnCalls 1)'!A14</f>
        <v>41183</v>
      </c>
      <c r="M252" s="208">
        <f>'(FnCalls 1)'!A11</f>
        <v>40909</v>
      </c>
    </row>
    <row r="253" spans="1:13" ht="12.75" customHeight="1" x14ac:dyDescent="0.2">
      <c r="A253" s="1" t="str">
        <f>"Cash_Flow_Work_Cap_3"</f>
        <v>Cash_Flow_Work_Cap_3</v>
      </c>
    </row>
    <row r="254" spans="1:13" ht="12.75" customHeight="1" x14ac:dyDescent="0.2">
      <c r="B254" s="17" t="str">
        <f>'(FnCalls 1)'!G6</f>
        <v>Q4 2010</v>
      </c>
      <c r="C254" s="62" t="str">
        <f>'(FnCalls 1)'!H4</f>
        <v>2010</v>
      </c>
      <c r="D254" s="18" t="str">
        <f>'(FnCalls 1)'!G7</f>
        <v>Q1 2011</v>
      </c>
      <c r="E254" s="18" t="str">
        <f>'(FnCalls 1)'!G8</f>
        <v>Q2 2011</v>
      </c>
      <c r="F254" s="18" t="str">
        <f>'(FnCalls 1)'!G9</f>
        <v>Q3 2011</v>
      </c>
      <c r="G254" s="18" t="str">
        <f>'(FnCalls 1)'!G10</f>
        <v>Q4 2011</v>
      </c>
      <c r="H254" s="62" t="str">
        <f>'(FnCalls 1)'!H7</f>
        <v>2011</v>
      </c>
      <c r="I254" s="18" t="str">
        <f>'(FnCalls 1)'!G11</f>
        <v>Q1 2012</v>
      </c>
      <c r="J254" s="18" t="str">
        <f>'(FnCalls 1)'!G12</f>
        <v>Q2 2012</v>
      </c>
      <c r="K254" s="18" t="str">
        <f>'(FnCalls 1)'!G13</f>
        <v>Q3 2012</v>
      </c>
      <c r="L254" s="18" t="str">
        <f>'(FnCalls 1)'!G14</f>
        <v>Q4 2012</v>
      </c>
      <c r="M254" s="62" t="str">
        <f>'(FnCalls 1)'!H11</f>
        <v>2012</v>
      </c>
    </row>
    <row r="255" spans="1:13" ht="12.75" customHeight="1" x14ac:dyDescent="0.2">
      <c r="A255" s="12"/>
      <c r="B255" s="206" t="str">
        <f>'(FnCalls 1)'!G6</f>
        <v>Q4 2010</v>
      </c>
      <c r="C255" s="208" t="str">
        <f>'(FnCalls 1)'!G4</f>
        <v>Q1 2010</v>
      </c>
      <c r="D255" s="206" t="str">
        <f>'(FnCalls 1)'!G7</f>
        <v>Q1 2011</v>
      </c>
      <c r="E255" s="206" t="str">
        <f>'(FnCalls 1)'!G8</f>
        <v>Q2 2011</v>
      </c>
      <c r="F255" s="206" t="str">
        <f>'(FnCalls 1)'!G9</f>
        <v>Q3 2011</v>
      </c>
      <c r="G255" s="206" t="str">
        <f>'(FnCalls 1)'!G10</f>
        <v>Q4 2011</v>
      </c>
      <c r="H255" s="208" t="str">
        <f>'(FnCalls 1)'!G7</f>
        <v>Q1 2011</v>
      </c>
      <c r="I255" s="206" t="str">
        <f>'(FnCalls 1)'!G11</f>
        <v>Q1 2012</v>
      </c>
      <c r="J255" s="206" t="str">
        <f>'(FnCalls 1)'!G12</f>
        <v>Q2 2012</v>
      </c>
      <c r="K255" s="206" t="str">
        <f>'(FnCalls 1)'!G13</f>
        <v>Q3 2012</v>
      </c>
      <c r="L255" s="206" t="str">
        <f>'(FnCalls 1)'!G14</f>
        <v>Q4 2012</v>
      </c>
      <c r="M255" s="208" t="str">
        <f>'(FnCalls 1)'!G11</f>
        <v>Q1 2012</v>
      </c>
    </row>
    <row r="256" spans="1:13" ht="12.75" customHeight="1" x14ac:dyDescent="0.2">
      <c r="A256" s="1" t="str">
        <f>"Valuation_EquityFin_1"</f>
        <v>Valuation_EquityFin_1</v>
      </c>
    </row>
    <row r="257" spans="1:13" ht="12.75" customHeight="1" x14ac:dyDescent="0.2">
      <c r="B257" s="17" t="str">
        <f>'(FnCalls 1)'!G6</f>
        <v>Q4 2010</v>
      </c>
      <c r="C257" s="62" t="str">
        <f>'(FnCalls 1)'!H4</f>
        <v>2010</v>
      </c>
      <c r="D257" s="18" t="str">
        <f>'(FnCalls 1)'!G7</f>
        <v>Q1 2011</v>
      </c>
      <c r="E257" s="18" t="str">
        <f>'(FnCalls 1)'!G8</f>
        <v>Q2 2011</v>
      </c>
      <c r="F257" s="18" t="str">
        <f>'(FnCalls 1)'!G9</f>
        <v>Q3 2011</v>
      </c>
      <c r="G257" s="18" t="str">
        <f>'(FnCalls 1)'!G10</f>
        <v>Q4 2011</v>
      </c>
      <c r="H257" s="62" t="str">
        <f>'(FnCalls 1)'!H7</f>
        <v>2011</v>
      </c>
      <c r="I257" s="18" t="str">
        <f>'(FnCalls 1)'!G11</f>
        <v>Q1 2012</v>
      </c>
      <c r="J257" s="18" t="str">
        <f>'(FnCalls 1)'!G12</f>
        <v>Q2 2012</v>
      </c>
      <c r="K257" s="18" t="str">
        <f>'(FnCalls 1)'!G13</f>
        <v>Q3 2012</v>
      </c>
      <c r="L257" s="18" t="str">
        <f>'(FnCalls 1)'!G14</f>
        <v>Q4 2012</v>
      </c>
      <c r="M257" s="62" t="str">
        <f>'(FnCalls 1)'!H11</f>
        <v>2012</v>
      </c>
    </row>
    <row r="258" spans="1:13" ht="12.75" customHeight="1" x14ac:dyDescent="0.2">
      <c r="A258" s="12"/>
      <c r="B258" s="206">
        <f>'(FnCalls 1)'!A6</f>
        <v>40452</v>
      </c>
      <c r="C258" s="208">
        <f>'(FnCalls 1)'!A4</f>
        <v>40179</v>
      </c>
      <c r="D258" s="206">
        <f>'(FnCalls 1)'!A7</f>
        <v>40544</v>
      </c>
      <c r="E258" s="206">
        <f>'(FnCalls 1)'!A8</f>
        <v>40634</v>
      </c>
      <c r="F258" s="206">
        <f>'(FnCalls 1)'!A9</f>
        <v>40725</v>
      </c>
      <c r="G258" s="206">
        <f>'(FnCalls 1)'!A10</f>
        <v>40817</v>
      </c>
      <c r="H258" s="208">
        <f>'(FnCalls 1)'!A7</f>
        <v>40544</v>
      </c>
      <c r="I258" s="206">
        <f>'(FnCalls 1)'!A11</f>
        <v>40909</v>
      </c>
      <c r="J258" s="206">
        <f>'(FnCalls 1)'!A12</f>
        <v>41000</v>
      </c>
      <c r="K258" s="206">
        <f>'(FnCalls 1)'!A13</f>
        <v>41091</v>
      </c>
      <c r="L258" s="206">
        <f>'(FnCalls 1)'!A14</f>
        <v>41183</v>
      </c>
      <c r="M258" s="208">
        <f>'(FnCalls 1)'!A11</f>
        <v>40909</v>
      </c>
    </row>
    <row r="259" spans="1:13" ht="12.75" customHeight="1" x14ac:dyDescent="0.2">
      <c r="A259" s="1" t="str">
        <f>"Valuation_EquityFin_2"</f>
        <v>Valuation_EquityFin_2</v>
      </c>
    </row>
    <row r="260" spans="1:13" ht="12.75" customHeight="1" x14ac:dyDescent="0.2">
      <c r="B260" s="17" t="str">
        <f>'(FnCalls 1)'!G6</f>
        <v>Q4 2010</v>
      </c>
      <c r="C260" s="62" t="str">
        <f>'(FnCalls 1)'!H4</f>
        <v>2010</v>
      </c>
      <c r="D260" s="18" t="str">
        <f>'(FnCalls 1)'!G7</f>
        <v>Q1 2011</v>
      </c>
      <c r="E260" s="18" t="str">
        <f>'(FnCalls 1)'!G8</f>
        <v>Q2 2011</v>
      </c>
      <c r="F260" s="18" t="str">
        <f>'(FnCalls 1)'!G9</f>
        <v>Q3 2011</v>
      </c>
      <c r="G260" s="18" t="str">
        <f>'(FnCalls 1)'!G10</f>
        <v>Q4 2011</v>
      </c>
      <c r="H260" s="62" t="str">
        <f>'(FnCalls 1)'!H7</f>
        <v>2011</v>
      </c>
      <c r="I260" s="18" t="str">
        <f>'(FnCalls 1)'!G11</f>
        <v>Q1 2012</v>
      </c>
      <c r="J260" s="18" t="str">
        <f>'(FnCalls 1)'!G12</f>
        <v>Q2 2012</v>
      </c>
      <c r="K260" s="18" t="str">
        <f>'(FnCalls 1)'!G13</f>
        <v>Q3 2012</v>
      </c>
      <c r="L260" s="18" t="str">
        <f>'(FnCalls 1)'!G14</f>
        <v>Q4 2012</v>
      </c>
      <c r="M260" s="62" t="str">
        <f>'(FnCalls 1)'!H11</f>
        <v>2012</v>
      </c>
    </row>
    <row r="261" spans="1:13" ht="12.75" customHeight="1" x14ac:dyDescent="0.2">
      <c r="A261" s="12"/>
      <c r="B261" s="206" t="str">
        <f>'(FnCalls 1)'!G6</f>
        <v>Q4 2010</v>
      </c>
      <c r="C261" s="208" t="str">
        <f>'(FnCalls 1)'!G4</f>
        <v>Q1 2010</v>
      </c>
      <c r="D261" s="206" t="str">
        <f>'(FnCalls 1)'!G7</f>
        <v>Q1 2011</v>
      </c>
      <c r="E261" s="206" t="str">
        <f>'(FnCalls 1)'!G8</f>
        <v>Q2 2011</v>
      </c>
      <c r="F261" s="206" t="str">
        <f>'(FnCalls 1)'!G9</f>
        <v>Q3 2011</v>
      </c>
      <c r="G261" s="206" t="str">
        <f>'(FnCalls 1)'!G10</f>
        <v>Q4 2011</v>
      </c>
      <c r="H261" s="208" t="str">
        <f>'(FnCalls 1)'!G7</f>
        <v>Q1 2011</v>
      </c>
      <c r="I261" s="206" t="str">
        <f>'(FnCalls 1)'!G11</f>
        <v>Q1 2012</v>
      </c>
      <c r="J261" s="206" t="str">
        <f>'(FnCalls 1)'!G12</f>
        <v>Q2 2012</v>
      </c>
      <c r="K261" s="206" t="str">
        <f>'(FnCalls 1)'!G13</f>
        <v>Q3 2012</v>
      </c>
      <c r="L261" s="206" t="str">
        <f>'(FnCalls 1)'!G14</f>
        <v>Q4 2012</v>
      </c>
      <c r="M261" s="208" t="str">
        <f>'(FnCalls 1)'!G11</f>
        <v>Q1 2012</v>
      </c>
    </row>
    <row r="262" spans="1:13" ht="12.75" customHeight="1" x14ac:dyDescent="0.2">
      <c r="A262" s="1" t="str">
        <f>"Valuation_BlendedFin_1"</f>
        <v>Valuation_BlendedFin_1</v>
      </c>
    </row>
    <row r="263" spans="1:13" ht="12.75" customHeight="1" x14ac:dyDescent="0.2">
      <c r="B263" s="17" t="str">
        <f>'(FnCalls 1)'!G6</f>
        <v>Q4 2010</v>
      </c>
      <c r="C263" s="62" t="str">
        <f>'(FnCalls 1)'!H4</f>
        <v>2010</v>
      </c>
      <c r="D263" s="18" t="str">
        <f>'(FnCalls 1)'!G7</f>
        <v>Q1 2011</v>
      </c>
      <c r="E263" s="18" t="str">
        <f>'(FnCalls 1)'!G8</f>
        <v>Q2 2011</v>
      </c>
      <c r="F263" s="18" t="str">
        <f>'(FnCalls 1)'!G9</f>
        <v>Q3 2011</v>
      </c>
      <c r="G263" s="18" t="str">
        <f>'(FnCalls 1)'!G10</f>
        <v>Q4 2011</v>
      </c>
      <c r="H263" s="62" t="str">
        <f>'(FnCalls 1)'!H7</f>
        <v>2011</v>
      </c>
      <c r="I263" s="18" t="str">
        <f>'(FnCalls 1)'!G11</f>
        <v>Q1 2012</v>
      </c>
      <c r="J263" s="18" t="str">
        <f>'(FnCalls 1)'!G12</f>
        <v>Q2 2012</v>
      </c>
      <c r="K263" s="18" t="str">
        <f>'(FnCalls 1)'!G13</f>
        <v>Q3 2012</v>
      </c>
      <c r="L263" s="18" t="str">
        <f>'(FnCalls 1)'!G14</f>
        <v>Q4 2012</v>
      </c>
      <c r="M263" s="62" t="str">
        <f>'(FnCalls 1)'!H11</f>
        <v>2012</v>
      </c>
    </row>
    <row r="264" spans="1:13" ht="12.75" customHeight="1" x14ac:dyDescent="0.2">
      <c r="A264" s="12"/>
      <c r="B264" s="206">
        <f>'(FnCalls 1)'!A6</f>
        <v>40452</v>
      </c>
      <c r="C264" s="208">
        <f>'(FnCalls 1)'!A4</f>
        <v>40179</v>
      </c>
      <c r="D264" s="206">
        <f>'(FnCalls 1)'!A7</f>
        <v>40544</v>
      </c>
      <c r="E264" s="206">
        <f>'(FnCalls 1)'!A8</f>
        <v>40634</v>
      </c>
      <c r="F264" s="206">
        <f>'(FnCalls 1)'!A9</f>
        <v>40725</v>
      </c>
      <c r="G264" s="206">
        <f>'(FnCalls 1)'!A10</f>
        <v>40817</v>
      </c>
      <c r="H264" s="208">
        <f>'(FnCalls 1)'!A7</f>
        <v>40544</v>
      </c>
      <c r="I264" s="206">
        <f>'(FnCalls 1)'!A11</f>
        <v>40909</v>
      </c>
      <c r="J264" s="206">
        <f>'(FnCalls 1)'!A12</f>
        <v>41000</v>
      </c>
      <c r="K264" s="206">
        <f>'(FnCalls 1)'!A13</f>
        <v>41091</v>
      </c>
      <c r="L264" s="206">
        <f>'(FnCalls 1)'!A14</f>
        <v>41183</v>
      </c>
      <c r="M264" s="208">
        <f>'(FnCalls 1)'!A11</f>
        <v>40909</v>
      </c>
    </row>
    <row r="265" spans="1:13" ht="12.75" customHeight="1" x14ac:dyDescent="0.2">
      <c r="A265" s="1" t="str">
        <f>"Valuation_BlendedFin_2"</f>
        <v>Valuation_BlendedFin_2</v>
      </c>
    </row>
    <row r="266" spans="1:13" ht="12.75" customHeight="1" x14ac:dyDescent="0.2">
      <c r="B266" s="17" t="str">
        <f>'(FnCalls 1)'!G6</f>
        <v>Q4 2010</v>
      </c>
      <c r="C266" s="62" t="str">
        <f>'(FnCalls 1)'!H4</f>
        <v>2010</v>
      </c>
      <c r="D266" s="18" t="str">
        <f>'(FnCalls 1)'!G7</f>
        <v>Q1 2011</v>
      </c>
      <c r="E266" s="18" t="str">
        <f>'(FnCalls 1)'!G8</f>
        <v>Q2 2011</v>
      </c>
      <c r="F266" s="18" t="str">
        <f>'(FnCalls 1)'!G9</f>
        <v>Q3 2011</v>
      </c>
      <c r="G266" s="18" t="str">
        <f>'(FnCalls 1)'!G10</f>
        <v>Q4 2011</v>
      </c>
      <c r="H266" s="62" t="str">
        <f>'(FnCalls 1)'!H7</f>
        <v>2011</v>
      </c>
      <c r="I266" s="18" t="str">
        <f>'(FnCalls 1)'!G11</f>
        <v>Q1 2012</v>
      </c>
      <c r="J266" s="18" t="str">
        <f>'(FnCalls 1)'!G12</f>
        <v>Q2 2012</v>
      </c>
      <c r="K266" s="18" t="str">
        <f>'(FnCalls 1)'!G13</f>
        <v>Q3 2012</v>
      </c>
      <c r="L266" s="18" t="str">
        <f>'(FnCalls 1)'!G14</f>
        <v>Q4 2012</v>
      </c>
      <c r="M266" s="62" t="str">
        <f>'(FnCalls 1)'!H11</f>
        <v>2012</v>
      </c>
    </row>
    <row r="267" spans="1:13" ht="12.75" customHeight="1" x14ac:dyDescent="0.2">
      <c r="A267" s="12"/>
      <c r="B267" s="206" t="str">
        <f>'(FnCalls 1)'!G6</f>
        <v>Q4 2010</v>
      </c>
      <c r="C267" s="208" t="str">
        <f>'(FnCalls 1)'!G4</f>
        <v>Q1 2010</v>
      </c>
      <c r="D267" s="206" t="str">
        <f>'(FnCalls 1)'!G7</f>
        <v>Q1 2011</v>
      </c>
      <c r="E267" s="206" t="str">
        <f>'(FnCalls 1)'!G8</f>
        <v>Q2 2011</v>
      </c>
      <c r="F267" s="206" t="str">
        <f>'(FnCalls 1)'!G9</f>
        <v>Q3 2011</v>
      </c>
      <c r="G267" s="206" t="str">
        <f>'(FnCalls 1)'!G10</f>
        <v>Q4 2011</v>
      </c>
      <c r="H267" s="208" t="str">
        <f>'(FnCalls 1)'!G7</f>
        <v>Q1 2011</v>
      </c>
      <c r="I267" s="206" t="str">
        <f>'(FnCalls 1)'!G11</f>
        <v>Q1 2012</v>
      </c>
      <c r="J267" s="206" t="str">
        <f>'(FnCalls 1)'!G12</f>
        <v>Q2 2012</v>
      </c>
      <c r="K267" s="206" t="str">
        <f>'(FnCalls 1)'!G13</f>
        <v>Q3 2012</v>
      </c>
      <c r="L267" s="206" t="str">
        <f>'(FnCalls 1)'!G14</f>
        <v>Q4 2012</v>
      </c>
      <c r="M267" s="208" t="str">
        <f>'(FnCalls 1)'!G11</f>
        <v>Q1 2012</v>
      </c>
    </row>
    <row r="268" spans="1:13" ht="12.75" customHeight="1" x14ac:dyDescent="0.2">
      <c r="A268" s="1" t="str">
        <f>"DCF_BlendedFin_1"</f>
        <v>DCF_BlendedFin_1</v>
      </c>
    </row>
    <row r="269" spans="1:13" ht="12.75" customHeight="1" x14ac:dyDescent="0.2">
      <c r="B269" s="17" t="str">
        <f>'(FnCalls 1)'!G6</f>
        <v>Q4 2010</v>
      </c>
      <c r="C269" s="62" t="str">
        <f>'(FnCalls 1)'!H4</f>
        <v>2010</v>
      </c>
      <c r="D269" s="18" t="str">
        <f>'(FnCalls 1)'!G7</f>
        <v>Q1 2011</v>
      </c>
      <c r="E269" s="18" t="str">
        <f>'(FnCalls 1)'!G8</f>
        <v>Q2 2011</v>
      </c>
      <c r="F269" s="18" t="str">
        <f>'(FnCalls 1)'!G9</f>
        <v>Q3 2011</v>
      </c>
      <c r="G269" s="18" t="str">
        <f>'(FnCalls 1)'!G10</f>
        <v>Q4 2011</v>
      </c>
      <c r="H269" s="62" t="str">
        <f>'(FnCalls 1)'!H7</f>
        <v>2011</v>
      </c>
      <c r="I269" s="18" t="str">
        <f>'(FnCalls 1)'!G11</f>
        <v>Q1 2012</v>
      </c>
      <c r="J269" s="18" t="str">
        <f>'(FnCalls 1)'!G12</f>
        <v>Q2 2012</v>
      </c>
      <c r="K269" s="18" t="str">
        <f>'(FnCalls 1)'!G13</f>
        <v>Q3 2012</v>
      </c>
      <c r="L269" s="18" t="str">
        <f>'(FnCalls 1)'!G14</f>
        <v>Q4 2012</v>
      </c>
      <c r="M269" s="62" t="str">
        <f>'(FnCalls 1)'!H11</f>
        <v>2012</v>
      </c>
    </row>
    <row r="270" spans="1:13" ht="12.75" customHeight="1" x14ac:dyDescent="0.2">
      <c r="A270" s="12"/>
      <c r="B270" s="206">
        <f>'(FnCalls 1)'!A6</f>
        <v>40452</v>
      </c>
      <c r="C270" s="208">
        <f>'(FnCalls 1)'!A4</f>
        <v>40179</v>
      </c>
      <c r="D270" s="206">
        <f>'(FnCalls 1)'!A7</f>
        <v>40544</v>
      </c>
      <c r="E270" s="206">
        <f>'(FnCalls 1)'!A8</f>
        <v>40634</v>
      </c>
      <c r="F270" s="206">
        <f>'(FnCalls 1)'!A9</f>
        <v>40725</v>
      </c>
      <c r="G270" s="206">
        <f>'(FnCalls 1)'!A10</f>
        <v>40817</v>
      </c>
      <c r="H270" s="208">
        <f>'(FnCalls 1)'!A7</f>
        <v>40544</v>
      </c>
      <c r="I270" s="206">
        <f>'(FnCalls 1)'!A11</f>
        <v>40909</v>
      </c>
      <c r="J270" s="206">
        <f>'(FnCalls 1)'!A12</f>
        <v>41000</v>
      </c>
      <c r="K270" s="206">
        <f>'(FnCalls 1)'!A13</f>
        <v>41091</v>
      </c>
      <c r="L270" s="206">
        <f>'(FnCalls 1)'!A14</f>
        <v>41183</v>
      </c>
      <c r="M270" s="208">
        <f>'(FnCalls 1)'!A11</f>
        <v>40909</v>
      </c>
    </row>
    <row r="271" spans="1:13" ht="12.75" customHeight="1" x14ac:dyDescent="0.2">
      <c r="A271" s="1" t="str">
        <f>"DCF_BlendedFin_2"</f>
        <v>DCF_BlendedFin_2</v>
      </c>
    </row>
    <row r="272" spans="1:13" ht="12.75" customHeight="1" x14ac:dyDescent="0.2">
      <c r="B272" s="17" t="str">
        <f>'(FnCalls 1)'!G6</f>
        <v>Q4 2010</v>
      </c>
      <c r="C272" s="62" t="str">
        <f>'(FnCalls 1)'!H4</f>
        <v>2010</v>
      </c>
      <c r="D272" s="18" t="str">
        <f>'(FnCalls 1)'!G7</f>
        <v>Q1 2011</v>
      </c>
      <c r="E272" s="18" t="str">
        <f>'(FnCalls 1)'!G8</f>
        <v>Q2 2011</v>
      </c>
      <c r="F272" s="18" t="str">
        <f>'(FnCalls 1)'!G9</f>
        <v>Q3 2011</v>
      </c>
      <c r="G272" s="18" t="str">
        <f>'(FnCalls 1)'!G10</f>
        <v>Q4 2011</v>
      </c>
      <c r="H272" s="62" t="str">
        <f>'(FnCalls 1)'!H7</f>
        <v>2011</v>
      </c>
      <c r="I272" s="18" t="str">
        <f>'(FnCalls 1)'!G11</f>
        <v>Q1 2012</v>
      </c>
      <c r="J272" s="18" t="str">
        <f>'(FnCalls 1)'!G12</f>
        <v>Q2 2012</v>
      </c>
      <c r="K272" s="18" t="str">
        <f>'(FnCalls 1)'!G13</f>
        <v>Q3 2012</v>
      </c>
      <c r="L272" s="18" t="str">
        <f>'(FnCalls 1)'!G14</f>
        <v>Q4 2012</v>
      </c>
      <c r="M272" s="62" t="str">
        <f>'(FnCalls 1)'!H11</f>
        <v>2012</v>
      </c>
    </row>
    <row r="273" spans="1:13" ht="12.75" customHeight="1" x14ac:dyDescent="0.2">
      <c r="A273" s="12"/>
      <c r="B273" s="206" t="str">
        <f>'(FnCalls 1)'!G6</f>
        <v>Q4 2010</v>
      </c>
      <c r="C273" s="208" t="str">
        <f>'(FnCalls 1)'!G4</f>
        <v>Q1 2010</v>
      </c>
      <c r="D273" s="206" t="str">
        <f>'(FnCalls 1)'!G7</f>
        <v>Q1 2011</v>
      </c>
      <c r="E273" s="206" t="str">
        <f>'(FnCalls 1)'!G8</f>
        <v>Q2 2011</v>
      </c>
      <c r="F273" s="206" t="str">
        <f>'(FnCalls 1)'!G9</f>
        <v>Q3 2011</v>
      </c>
      <c r="G273" s="206" t="str">
        <f>'(FnCalls 1)'!G10</f>
        <v>Q4 2011</v>
      </c>
      <c r="H273" s="208" t="str">
        <f>'(FnCalls 1)'!G7</f>
        <v>Q1 2011</v>
      </c>
      <c r="I273" s="206" t="str">
        <f>'(FnCalls 1)'!G11</f>
        <v>Q1 2012</v>
      </c>
      <c r="J273" s="206" t="str">
        <f>'(FnCalls 1)'!G12</f>
        <v>Q2 2012</v>
      </c>
      <c r="K273" s="206" t="str">
        <f>'(FnCalls 1)'!G13</f>
        <v>Q3 2012</v>
      </c>
      <c r="L273" s="206" t="str">
        <f>'(FnCalls 1)'!G14</f>
        <v>Q4 2012</v>
      </c>
      <c r="M273" s="208" t="str">
        <f>'(FnCalls 1)'!G11</f>
        <v>Q1 2012</v>
      </c>
    </row>
    <row r="274" spans="1:13" ht="12.75" customHeight="1" x14ac:dyDescent="0.2">
      <c r="A274" s="1" t="str">
        <f>"Book_Value_End_plt_1"</f>
        <v>Book_Value_End_plt_1</v>
      </c>
    </row>
    <row r="275" spans="1:13" ht="12.75" customHeight="1" x14ac:dyDescent="0.2">
      <c r="B275" s="17" t="str">
        <f>'(FnCalls 1)'!G6</f>
        <v>Q4 2010</v>
      </c>
      <c r="C275" s="62" t="str">
        <f>'(FnCalls 1)'!H4</f>
        <v>2010</v>
      </c>
      <c r="D275" s="18" t="str">
        <f>'(FnCalls 1)'!G7</f>
        <v>Q1 2011</v>
      </c>
      <c r="E275" s="18" t="str">
        <f>'(FnCalls 1)'!G8</f>
        <v>Q2 2011</v>
      </c>
      <c r="F275" s="18" t="str">
        <f>'(FnCalls 1)'!G9</f>
        <v>Q3 2011</v>
      </c>
      <c r="G275" s="18" t="str">
        <f>'(FnCalls 1)'!G10</f>
        <v>Q4 2011</v>
      </c>
      <c r="H275" s="62" t="str">
        <f>'(FnCalls 1)'!H7</f>
        <v>2011</v>
      </c>
      <c r="I275" s="18" t="str">
        <f>'(FnCalls 1)'!G11</f>
        <v>Q1 2012</v>
      </c>
      <c r="J275" s="18" t="str">
        <f>'(FnCalls 1)'!G12</f>
        <v>Q2 2012</v>
      </c>
      <c r="K275" s="18" t="str">
        <f>'(FnCalls 1)'!G13</f>
        <v>Q3 2012</v>
      </c>
      <c r="L275" s="18" t="str">
        <f>'(FnCalls 1)'!G14</f>
        <v>Q4 2012</v>
      </c>
      <c r="M275" s="62" t="str">
        <f>'(FnCalls 1)'!H11</f>
        <v>2012</v>
      </c>
    </row>
    <row r="276" spans="1:13" ht="12.75" customHeight="1" x14ac:dyDescent="0.2">
      <c r="A276" s="12"/>
      <c r="B276" s="206">
        <f>'(FnCalls 1)'!A6</f>
        <v>40452</v>
      </c>
      <c r="C276" s="208">
        <f>'(FnCalls 1)'!A4</f>
        <v>40179</v>
      </c>
      <c r="D276" s="206">
        <f>'(FnCalls 1)'!A7</f>
        <v>40544</v>
      </c>
      <c r="E276" s="206">
        <f>'(FnCalls 1)'!A8</f>
        <v>40634</v>
      </c>
      <c r="F276" s="206">
        <f>'(FnCalls 1)'!A9</f>
        <v>40725</v>
      </c>
      <c r="G276" s="206">
        <f>'(FnCalls 1)'!A10</f>
        <v>40817</v>
      </c>
      <c r="H276" s="208">
        <f>'(FnCalls 1)'!A7</f>
        <v>40544</v>
      </c>
      <c r="I276" s="206">
        <f>'(FnCalls 1)'!A11</f>
        <v>40909</v>
      </c>
      <c r="J276" s="206">
        <f>'(FnCalls 1)'!A12</f>
        <v>41000</v>
      </c>
      <c r="K276" s="206">
        <f>'(FnCalls 1)'!A13</f>
        <v>41091</v>
      </c>
      <c r="L276" s="206">
        <f>'(FnCalls 1)'!A14</f>
        <v>41183</v>
      </c>
      <c r="M276" s="208">
        <f>'(FnCalls 1)'!A11</f>
        <v>40909</v>
      </c>
    </row>
    <row r="277" spans="1:13" ht="12.75" customHeight="1" x14ac:dyDescent="0.2">
      <c r="A277" s="1" t="str">
        <f>"Book_Value_End_plt_2"</f>
        <v>Book_Value_End_plt_2</v>
      </c>
    </row>
    <row r="278" spans="1:13" ht="12.75" customHeight="1" x14ac:dyDescent="0.2">
      <c r="B278" s="17" t="str">
        <f>'(FnCalls 1)'!G6</f>
        <v>Q4 2010</v>
      </c>
      <c r="C278" s="62" t="str">
        <f>'(FnCalls 1)'!H4</f>
        <v>2010</v>
      </c>
      <c r="D278" s="18" t="str">
        <f>'(FnCalls 1)'!G7</f>
        <v>Q1 2011</v>
      </c>
      <c r="E278" s="18" t="str">
        <f>'(FnCalls 1)'!G8</f>
        <v>Q2 2011</v>
      </c>
      <c r="F278" s="18" t="str">
        <f>'(FnCalls 1)'!G9</f>
        <v>Q3 2011</v>
      </c>
      <c r="G278" s="18" t="str">
        <f>'(FnCalls 1)'!G10</f>
        <v>Q4 2011</v>
      </c>
      <c r="H278" s="62" t="str">
        <f>'(FnCalls 1)'!H7</f>
        <v>2011</v>
      </c>
      <c r="I278" s="18" t="str">
        <f>'(FnCalls 1)'!G11</f>
        <v>Q1 2012</v>
      </c>
      <c r="J278" s="18" t="str">
        <f>'(FnCalls 1)'!G12</f>
        <v>Q2 2012</v>
      </c>
      <c r="K278" s="18" t="str">
        <f>'(FnCalls 1)'!G13</f>
        <v>Q3 2012</v>
      </c>
      <c r="L278" s="18" t="str">
        <f>'(FnCalls 1)'!G14</f>
        <v>Q4 2012</v>
      </c>
      <c r="M278" s="62" t="str">
        <f>'(FnCalls 1)'!H11</f>
        <v>2012</v>
      </c>
    </row>
    <row r="279" spans="1:13" ht="12.75" customHeight="1" x14ac:dyDescent="0.2">
      <c r="A279" s="12"/>
      <c r="B279" s="206" t="str">
        <f>'(FnCalls 1)'!G6</f>
        <v>Q4 2010</v>
      </c>
      <c r="C279" s="208" t="str">
        <f>'(FnCalls 1)'!G4</f>
        <v>Q1 2010</v>
      </c>
      <c r="D279" s="206" t="str">
        <f>'(FnCalls 1)'!G7</f>
        <v>Q1 2011</v>
      </c>
      <c r="E279" s="206" t="str">
        <f>'(FnCalls 1)'!G8</f>
        <v>Q2 2011</v>
      </c>
      <c r="F279" s="206" t="str">
        <f>'(FnCalls 1)'!G9</f>
        <v>Q3 2011</v>
      </c>
      <c r="G279" s="206" t="str">
        <f>'(FnCalls 1)'!G10</f>
        <v>Q4 2011</v>
      </c>
      <c r="H279" s="208" t="str">
        <f>'(FnCalls 1)'!G7</f>
        <v>Q1 2011</v>
      </c>
      <c r="I279" s="206" t="str">
        <f>'(FnCalls 1)'!G11</f>
        <v>Q1 2012</v>
      </c>
      <c r="J279" s="206" t="str">
        <f>'(FnCalls 1)'!G12</f>
        <v>Q2 2012</v>
      </c>
      <c r="K279" s="206" t="str">
        <f>'(FnCalls 1)'!G13</f>
        <v>Q3 2012</v>
      </c>
      <c r="L279" s="206" t="str">
        <f>'(FnCalls 1)'!G14</f>
        <v>Q4 2012</v>
      </c>
      <c r="M279" s="208" t="str">
        <f>'(FnCalls 1)'!G11</f>
        <v>Q1 2012</v>
      </c>
    </row>
    <row r="280" spans="1:13" ht="12.75" customHeight="1" x14ac:dyDescent="0.2">
      <c r="A280" s="1" t="str">
        <f>"Cash_Flow_plt_1"</f>
        <v>Cash_Flow_plt_1</v>
      </c>
    </row>
    <row r="281" spans="1:13" ht="12.75" customHeight="1" x14ac:dyDescent="0.2">
      <c r="B281" s="17" t="str">
        <f>'(FnCalls 1)'!G6</f>
        <v>Q4 2010</v>
      </c>
      <c r="C281" s="62" t="str">
        <f>'(FnCalls 1)'!H4</f>
        <v>2010</v>
      </c>
      <c r="D281" s="18" t="str">
        <f>'(FnCalls 1)'!G7</f>
        <v>Q1 2011</v>
      </c>
      <c r="E281" s="18" t="str">
        <f>'(FnCalls 1)'!G8</f>
        <v>Q2 2011</v>
      </c>
      <c r="F281" s="18" t="str">
        <f>'(FnCalls 1)'!G9</f>
        <v>Q3 2011</v>
      </c>
      <c r="G281" s="18" t="str">
        <f>'(FnCalls 1)'!G10</f>
        <v>Q4 2011</v>
      </c>
      <c r="H281" s="62" t="str">
        <f>'(FnCalls 1)'!H7</f>
        <v>2011</v>
      </c>
      <c r="I281" s="18" t="str">
        <f>'(FnCalls 1)'!G11</f>
        <v>Q1 2012</v>
      </c>
      <c r="J281" s="18" t="str">
        <f>'(FnCalls 1)'!G12</f>
        <v>Q2 2012</v>
      </c>
      <c r="K281" s="18" t="str">
        <f>'(FnCalls 1)'!G13</f>
        <v>Q3 2012</v>
      </c>
      <c r="L281" s="18" t="str">
        <f>'(FnCalls 1)'!G14</f>
        <v>Q4 2012</v>
      </c>
      <c r="M281" s="62" t="str">
        <f>'(FnCalls 1)'!H11</f>
        <v>2012</v>
      </c>
    </row>
    <row r="282" spans="1:13" ht="12.75" customHeight="1" x14ac:dyDescent="0.2">
      <c r="A282" s="12"/>
      <c r="B282" s="206">
        <f>'(FnCalls 1)'!A6</f>
        <v>40452</v>
      </c>
      <c r="C282" s="208">
        <f>'(FnCalls 1)'!A4</f>
        <v>40179</v>
      </c>
      <c r="D282" s="206">
        <f>'(FnCalls 1)'!A7</f>
        <v>40544</v>
      </c>
      <c r="E282" s="206">
        <f>'(FnCalls 1)'!A8</f>
        <v>40634</v>
      </c>
      <c r="F282" s="206">
        <f>'(FnCalls 1)'!A9</f>
        <v>40725</v>
      </c>
      <c r="G282" s="206">
        <f>'(FnCalls 1)'!A10</f>
        <v>40817</v>
      </c>
      <c r="H282" s="208">
        <f>'(FnCalls 1)'!A7</f>
        <v>40544</v>
      </c>
      <c r="I282" s="206">
        <f>'(FnCalls 1)'!A11</f>
        <v>40909</v>
      </c>
      <c r="J282" s="206">
        <f>'(FnCalls 1)'!A12</f>
        <v>41000</v>
      </c>
      <c r="K282" s="206">
        <f>'(FnCalls 1)'!A13</f>
        <v>41091</v>
      </c>
      <c r="L282" s="206">
        <f>'(FnCalls 1)'!A14</f>
        <v>41183</v>
      </c>
      <c r="M282" s="208">
        <f>'(FnCalls 1)'!A11</f>
        <v>40909</v>
      </c>
    </row>
    <row r="283" spans="1:13" ht="12.75" customHeight="1" x14ac:dyDescent="0.2">
      <c r="A283" s="1" t="str">
        <f>"Cash_Flow_plt_2"</f>
        <v>Cash_Flow_plt_2</v>
      </c>
    </row>
    <row r="284" spans="1:13" ht="12.75" customHeight="1" x14ac:dyDescent="0.2">
      <c r="B284" s="17" t="str">
        <f>'(FnCalls 1)'!G6</f>
        <v>Q4 2010</v>
      </c>
      <c r="C284" s="62" t="str">
        <f>'(FnCalls 1)'!H4</f>
        <v>2010</v>
      </c>
      <c r="D284" s="18" t="str">
        <f>'(FnCalls 1)'!G7</f>
        <v>Q1 2011</v>
      </c>
      <c r="E284" s="18" t="str">
        <f>'(FnCalls 1)'!G8</f>
        <v>Q2 2011</v>
      </c>
      <c r="F284" s="18" t="str">
        <f>'(FnCalls 1)'!G9</f>
        <v>Q3 2011</v>
      </c>
      <c r="G284" s="18" t="str">
        <f>'(FnCalls 1)'!G10</f>
        <v>Q4 2011</v>
      </c>
      <c r="H284" s="62" t="str">
        <f>'(FnCalls 1)'!H7</f>
        <v>2011</v>
      </c>
      <c r="I284" s="18" t="str">
        <f>'(FnCalls 1)'!G11</f>
        <v>Q1 2012</v>
      </c>
      <c r="J284" s="18" t="str">
        <f>'(FnCalls 1)'!G12</f>
        <v>Q2 2012</v>
      </c>
      <c r="K284" s="18" t="str">
        <f>'(FnCalls 1)'!G13</f>
        <v>Q3 2012</v>
      </c>
      <c r="L284" s="18" t="str">
        <f>'(FnCalls 1)'!G14</f>
        <v>Q4 2012</v>
      </c>
      <c r="M284" s="62" t="str">
        <f>'(FnCalls 1)'!H11</f>
        <v>2012</v>
      </c>
    </row>
    <row r="285" spans="1:13" ht="12.75" customHeight="1" x14ac:dyDescent="0.2">
      <c r="A285" s="12"/>
      <c r="B285" s="206" t="str">
        <f>'(FnCalls 1)'!G6</f>
        <v>Q4 2010</v>
      </c>
      <c r="C285" s="208" t="str">
        <f>'(FnCalls 1)'!G4</f>
        <v>Q1 2010</v>
      </c>
      <c r="D285" s="206" t="str">
        <f>'(FnCalls 1)'!G7</f>
        <v>Q1 2011</v>
      </c>
      <c r="E285" s="206" t="str">
        <f>'(FnCalls 1)'!G8</f>
        <v>Q2 2011</v>
      </c>
      <c r="F285" s="206" t="str">
        <f>'(FnCalls 1)'!G9</f>
        <v>Q3 2011</v>
      </c>
      <c r="G285" s="206" t="str">
        <f>'(FnCalls 1)'!G10</f>
        <v>Q4 2011</v>
      </c>
      <c r="H285" s="208" t="str">
        <f>'(FnCalls 1)'!G7</f>
        <v>Q1 2011</v>
      </c>
      <c r="I285" s="206" t="str">
        <f>'(FnCalls 1)'!G11</f>
        <v>Q1 2012</v>
      </c>
      <c r="J285" s="206" t="str">
        <f>'(FnCalls 1)'!G12</f>
        <v>Q2 2012</v>
      </c>
      <c r="K285" s="206" t="str">
        <f>'(FnCalls 1)'!G13</f>
        <v>Q3 2012</v>
      </c>
      <c r="L285" s="206" t="str">
        <f>'(FnCalls 1)'!G14</f>
        <v>Q4 2012</v>
      </c>
      <c r="M285" s="208" t="str">
        <f>'(FnCalls 1)'!G11</f>
        <v>Q1 2012</v>
      </c>
    </row>
    <row r="286" spans="1:13" ht="12.75" customHeight="1" x14ac:dyDescent="0.2">
      <c r="A286" s="1" t="str">
        <f>"DCF_plt_1"</f>
        <v>DCF_plt_1</v>
      </c>
    </row>
    <row r="287" spans="1:13" ht="12.75" customHeight="1" x14ac:dyDescent="0.2">
      <c r="B287" s="17" t="str">
        <f>'(FnCalls 1)'!G6</f>
        <v>Q4 2010</v>
      </c>
      <c r="C287" s="62" t="str">
        <f>'(FnCalls 1)'!H4</f>
        <v>2010</v>
      </c>
      <c r="D287" s="18" t="str">
        <f>'(FnCalls 1)'!G7</f>
        <v>Q1 2011</v>
      </c>
      <c r="E287" s="18" t="str">
        <f>'(FnCalls 1)'!G8</f>
        <v>Q2 2011</v>
      </c>
      <c r="F287" s="18" t="str">
        <f>'(FnCalls 1)'!G9</f>
        <v>Q3 2011</v>
      </c>
      <c r="G287" s="18" t="str">
        <f>'(FnCalls 1)'!G10</f>
        <v>Q4 2011</v>
      </c>
      <c r="H287" s="62" t="str">
        <f>'(FnCalls 1)'!H7</f>
        <v>2011</v>
      </c>
      <c r="I287" s="18" t="str">
        <f>'(FnCalls 1)'!G11</f>
        <v>Q1 2012</v>
      </c>
      <c r="J287" s="18" t="str">
        <f>'(FnCalls 1)'!G12</f>
        <v>Q2 2012</v>
      </c>
      <c r="K287" s="18" t="str">
        <f>'(FnCalls 1)'!G13</f>
        <v>Q3 2012</v>
      </c>
      <c r="L287" s="18" t="str">
        <f>'(FnCalls 1)'!G14</f>
        <v>Q4 2012</v>
      </c>
      <c r="M287" s="62" t="str">
        <f>'(FnCalls 1)'!H11</f>
        <v>2012</v>
      </c>
    </row>
    <row r="288" spans="1:13" ht="12.75" customHeight="1" x14ac:dyDescent="0.2">
      <c r="A288" s="12"/>
      <c r="B288" s="206">
        <f>'(FnCalls 1)'!A6</f>
        <v>40452</v>
      </c>
      <c r="C288" s="208">
        <f>'(FnCalls 1)'!A4</f>
        <v>40179</v>
      </c>
      <c r="D288" s="206">
        <f>'(FnCalls 1)'!A7</f>
        <v>40544</v>
      </c>
      <c r="E288" s="206">
        <f>'(FnCalls 1)'!A8</f>
        <v>40634</v>
      </c>
      <c r="F288" s="206">
        <f>'(FnCalls 1)'!A9</f>
        <v>40725</v>
      </c>
      <c r="G288" s="206">
        <f>'(FnCalls 1)'!A10</f>
        <v>40817</v>
      </c>
      <c r="H288" s="208">
        <f>'(FnCalls 1)'!A7</f>
        <v>40544</v>
      </c>
      <c r="I288" s="206">
        <f>'(FnCalls 1)'!A11</f>
        <v>40909</v>
      </c>
      <c r="J288" s="206">
        <f>'(FnCalls 1)'!A12</f>
        <v>41000</v>
      </c>
      <c r="K288" s="206">
        <f>'(FnCalls 1)'!A13</f>
        <v>41091</v>
      </c>
      <c r="L288" s="206">
        <f>'(FnCalls 1)'!A14</f>
        <v>41183</v>
      </c>
      <c r="M288" s="208">
        <f>'(FnCalls 1)'!A11</f>
        <v>40909</v>
      </c>
    </row>
    <row r="289" spans="1:13" ht="12.75" customHeight="1" x14ac:dyDescent="0.2">
      <c r="A289" s="1" t="str">
        <f>"DCF_plt_2"</f>
        <v>DCF_plt_2</v>
      </c>
    </row>
    <row r="290" spans="1:13" ht="12.75" customHeight="1" x14ac:dyDescent="0.2">
      <c r="B290" s="17" t="str">
        <f>'(FnCalls 1)'!G6</f>
        <v>Q4 2010</v>
      </c>
      <c r="C290" s="62" t="str">
        <f>'(FnCalls 1)'!H4</f>
        <v>2010</v>
      </c>
      <c r="D290" s="18" t="str">
        <f>'(FnCalls 1)'!G7</f>
        <v>Q1 2011</v>
      </c>
      <c r="E290" s="18" t="str">
        <f>'(FnCalls 1)'!G8</f>
        <v>Q2 2011</v>
      </c>
      <c r="F290" s="18" t="str">
        <f>'(FnCalls 1)'!G9</f>
        <v>Q3 2011</v>
      </c>
      <c r="G290" s="18" t="str">
        <f>'(FnCalls 1)'!G10</f>
        <v>Q4 2011</v>
      </c>
      <c r="H290" s="62" t="str">
        <f>'(FnCalls 1)'!H7</f>
        <v>2011</v>
      </c>
      <c r="I290" s="18" t="str">
        <f>'(FnCalls 1)'!G11</f>
        <v>Q1 2012</v>
      </c>
      <c r="J290" s="18" t="str">
        <f>'(FnCalls 1)'!G12</f>
        <v>Q2 2012</v>
      </c>
      <c r="K290" s="18" t="str">
        <f>'(FnCalls 1)'!G13</f>
        <v>Q3 2012</v>
      </c>
      <c r="L290" s="18" t="str">
        <f>'(FnCalls 1)'!G14</f>
        <v>Q4 2012</v>
      </c>
      <c r="M290" s="62" t="str">
        <f>'(FnCalls 1)'!H11</f>
        <v>2012</v>
      </c>
    </row>
    <row r="291" spans="1:13" ht="12.75" customHeight="1" x14ac:dyDescent="0.2">
      <c r="A291" s="12"/>
      <c r="B291" s="206" t="str">
        <f>'(FnCalls 1)'!G6</f>
        <v>Q4 2010</v>
      </c>
      <c r="C291" s="208" t="str">
        <f>'(FnCalls 1)'!G4</f>
        <v>Q1 2010</v>
      </c>
      <c r="D291" s="206" t="str">
        <f>'(FnCalls 1)'!G7</f>
        <v>Q1 2011</v>
      </c>
      <c r="E291" s="206" t="str">
        <f>'(FnCalls 1)'!G8</f>
        <v>Q2 2011</v>
      </c>
      <c r="F291" s="206" t="str">
        <f>'(FnCalls 1)'!G9</f>
        <v>Q3 2011</v>
      </c>
      <c r="G291" s="206" t="str">
        <f>'(FnCalls 1)'!G10</f>
        <v>Q4 2011</v>
      </c>
      <c r="H291" s="208" t="str">
        <f>'(FnCalls 1)'!G7</f>
        <v>Q1 2011</v>
      </c>
      <c r="I291" s="206" t="str">
        <f>'(FnCalls 1)'!G11</f>
        <v>Q1 2012</v>
      </c>
      <c r="J291" s="206" t="str">
        <f>'(FnCalls 1)'!G12</f>
        <v>Q2 2012</v>
      </c>
      <c r="K291" s="206" t="str">
        <f>'(FnCalls 1)'!G13</f>
        <v>Q3 2012</v>
      </c>
      <c r="L291" s="206" t="str">
        <f>'(FnCalls 1)'!G14</f>
        <v>Q4 2012</v>
      </c>
      <c r="M291" s="208" t="str">
        <f>'(FnCalls 1)'!G11</f>
        <v>Q1 2012</v>
      </c>
    </row>
    <row r="292" spans="1:13" ht="12.75" customHeight="1" x14ac:dyDescent="0.2">
      <c r="A292" s="1" t="str">
        <f>"DCF_Cum_plt_1"</f>
        <v>DCF_Cum_plt_1</v>
      </c>
    </row>
    <row r="293" spans="1:13" ht="12.75" customHeight="1" x14ac:dyDescent="0.2">
      <c r="B293" s="17" t="str">
        <f>'(FnCalls 1)'!G6</f>
        <v>Q4 2010</v>
      </c>
      <c r="C293" s="62" t="str">
        <f>'(FnCalls 1)'!H4</f>
        <v>2010</v>
      </c>
      <c r="D293" s="18" t="str">
        <f>'(FnCalls 1)'!G7</f>
        <v>Q1 2011</v>
      </c>
      <c r="E293" s="18" t="str">
        <f>'(FnCalls 1)'!G8</f>
        <v>Q2 2011</v>
      </c>
      <c r="F293" s="18" t="str">
        <f>'(FnCalls 1)'!G9</f>
        <v>Q3 2011</v>
      </c>
      <c r="G293" s="18" t="str">
        <f>'(FnCalls 1)'!G10</f>
        <v>Q4 2011</v>
      </c>
      <c r="H293" s="62" t="str">
        <f>'(FnCalls 1)'!H7</f>
        <v>2011</v>
      </c>
      <c r="I293" s="18" t="str">
        <f>'(FnCalls 1)'!G11</f>
        <v>Q1 2012</v>
      </c>
      <c r="J293" s="18" t="str">
        <f>'(FnCalls 1)'!G12</f>
        <v>Q2 2012</v>
      </c>
      <c r="K293" s="18" t="str">
        <f>'(FnCalls 1)'!G13</f>
        <v>Q3 2012</v>
      </c>
      <c r="L293" s="18" t="str">
        <f>'(FnCalls 1)'!G14</f>
        <v>Q4 2012</v>
      </c>
      <c r="M293" s="62" t="str">
        <f>'(FnCalls 1)'!H11</f>
        <v>2012</v>
      </c>
    </row>
    <row r="294" spans="1:13" ht="12.75" customHeight="1" x14ac:dyDescent="0.2">
      <c r="A294" s="12"/>
      <c r="B294" s="206">
        <f>'(FnCalls 1)'!A6</f>
        <v>40452</v>
      </c>
      <c r="C294" s="208">
        <f>'(FnCalls 1)'!A4</f>
        <v>40179</v>
      </c>
      <c r="D294" s="206">
        <f>'(FnCalls 1)'!A7</f>
        <v>40544</v>
      </c>
      <c r="E294" s="206">
        <f>'(FnCalls 1)'!A8</f>
        <v>40634</v>
      </c>
      <c r="F294" s="206">
        <f>'(FnCalls 1)'!A9</f>
        <v>40725</v>
      </c>
      <c r="G294" s="206">
        <f>'(FnCalls 1)'!A10</f>
        <v>40817</v>
      </c>
      <c r="H294" s="208">
        <f>'(FnCalls 1)'!A7</f>
        <v>40544</v>
      </c>
      <c r="I294" s="206">
        <f>'(FnCalls 1)'!A11</f>
        <v>40909</v>
      </c>
      <c r="J294" s="206">
        <f>'(FnCalls 1)'!A12</f>
        <v>41000</v>
      </c>
      <c r="K294" s="206">
        <f>'(FnCalls 1)'!A13</f>
        <v>41091</v>
      </c>
      <c r="L294" s="206">
        <f>'(FnCalls 1)'!A14</f>
        <v>41183</v>
      </c>
      <c r="M294" s="208">
        <f>'(FnCalls 1)'!A11</f>
        <v>40909</v>
      </c>
    </row>
    <row r="295" spans="1:13" ht="12.75" customHeight="1" x14ac:dyDescent="0.2">
      <c r="A295" s="1" t="str">
        <f>"DCF_Cum_plt_2"</f>
        <v>DCF_Cum_plt_2</v>
      </c>
    </row>
    <row r="296" spans="1:13" ht="12.75" customHeight="1" x14ac:dyDescent="0.2">
      <c r="B296" s="17" t="str">
        <f>'(FnCalls 1)'!G6</f>
        <v>Q4 2010</v>
      </c>
      <c r="C296" s="62" t="str">
        <f>'(FnCalls 1)'!H4</f>
        <v>2010</v>
      </c>
      <c r="D296" s="18" t="str">
        <f>'(FnCalls 1)'!G7</f>
        <v>Q1 2011</v>
      </c>
      <c r="E296" s="18" t="str">
        <f>'(FnCalls 1)'!G8</f>
        <v>Q2 2011</v>
      </c>
      <c r="F296" s="18" t="str">
        <f>'(FnCalls 1)'!G9</f>
        <v>Q3 2011</v>
      </c>
      <c r="G296" s="18" t="str">
        <f>'(FnCalls 1)'!G10</f>
        <v>Q4 2011</v>
      </c>
      <c r="H296" s="62" t="str">
        <f>'(FnCalls 1)'!H7</f>
        <v>2011</v>
      </c>
      <c r="I296" s="18" t="str">
        <f>'(FnCalls 1)'!G11</f>
        <v>Q1 2012</v>
      </c>
      <c r="J296" s="18" t="str">
        <f>'(FnCalls 1)'!G12</f>
        <v>Q2 2012</v>
      </c>
      <c r="K296" s="18" t="str">
        <f>'(FnCalls 1)'!G13</f>
        <v>Q3 2012</v>
      </c>
      <c r="L296" s="18" t="str">
        <f>'(FnCalls 1)'!G14</f>
        <v>Q4 2012</v>
      </c>
      <c r="M296" s="62" t="str">
        <f>'(FnCalls 1)'!H11</f>
        <v>2012</v>
      </c>
    </row>
    <row r="297" spans="1:13" ht="12.75" customHeight="1" x14ac:dyDescent="0.2">
      <c r="A297" s="12"/>
      <c r="B297" s="206" t="str">
        <f>'(FnCalls 1)'!G6</f>
        <v>Q4 2010</v>
      </c>
      <c r="C297" s="208" t="str">
        <f>'(FnCalls 1)'!G4</f>
        <v>Q1 2010</v>
      </c>
      <c r="D297" s="206" t="str">
        <f>'(FnCalls 1)'!G7</f>
        <v>Q1 2011</v>
      </c>
      <c r="E297" s="206" t="str">
        <f>'(FnCalls 1)'!G8</f>
        <v>Q2 2011</v>
      </c>
      <c r="F297" s="206" t="str">
        <f>'(FnCalls 1)'!G9</f>
        <v>Q3 2011</v>
      </c>
      <c r="G297" s="206" t="str">
        <f>'(FnCalls 1)'!G10</f>
        <v>Q4 2011</v>
      </c>
      <c r="H297" s="208" t="str">
        <f>'(FnCalls 1)'!G7</f>
        <v>Q1 2011</v>
      </c>
      <c r="I297" s="206" t="str">
        <f>'(FnCalls 1)'!G11</f>
        <v>Q1 2012</v>
      </c>
      <c r="J297" s="206" t="str">
        <f>'(FnCalls 1)'!G12</f>
        <v>Q2 2012</v>
      </c>
      <c r="K297" s="206" t="str">
        <f>'(FnCalls 1)'!G13</f>
        <v>Q3 2012</v>
      </c>
      <c r="L297" s="206" t="str">
        <f>'(FnCalls 1)'!G14</f>
        <v>Q4 2012</v>
      </c>
      <c r="M297" s="208" t="str">
        <f>'(FnCalls 1)'!G11</f>
        <v>Q1 2012</v>
      </c>
    </row>
    <row r="298" spans="1:13" ht="12.75" customHeight="1" x14ac:dyDescent="0.2">
      <c r="A298" s="1" t="str">
        <f>"DCF_Cum_1"</f>
        <v>DCF_Cum_1</v>
      </c>
    </row>
    <row r="299" spans="1:13" ht="12.75" customHeight="1" x14ac:dyDescent="0.2">
      <c r="B299" s="17" t="str">
        <f>'(FnCalls 1)'!G6</f>
        <v>Q4 2010</v>
      </c>
      <c r="C299" s="62" t="str">
        <f>'(FnCalls 1)'!H4</f>
        <v>2010</v>
      </c>
      <c r="D299" s="18" t="str">
        <f>'(FnCalls 1)'!G7</f>
        <v>Q1 2011</v>
      </c>
      <c r="E299" s="18" t="str">
        <f>'(FnCalls 1)'!G8</f>
        <v>Q2 2011</v>
      </c>
      <c r="F299" s="18" t="str">
        <f>'(FnCalls 1)'!G9</f>
        <v>Q3 2011</v>
      </c>
      <c r="G299" s="18" t="str">
        <f>'(FnCalls 1)'!G10</f>
        <v>Q4 2011</v>
      </c>
      <c r="H299" s="62" t="str">
        <f>'(FnCalls 1)'!H7</f>
        <v>2011</v>
      </c>
      <c r="I299" s="18" t="str">
        <f>'(FnCalls 1)'!G11</f>
        <v>Q1 2012</v>
      </c>
      <c r="J299" s="18" t="str">
        <f>'(FnCalls 1)'!G12</f>
        <v>Q2 2012</v>
      </c>
      <c r="K299" s="18" t="str">
        <f>'(FnCalls 1)'!G13</f>
        <v>Q3 2012</v>
      </c>
      <c r="L299" s="18" t="str">
        <f>'(FnCalls 1)'!G14</f>
        <v>Q4 2012</v>
      </c>
      <c r="M299" s="62" t="str">
        <f>'(FnCalls 1)'!H11</f>
        <v>2012</v>
      </c>
    </row>
    <row r="300" spans="1:13" ht="12.75" customHeight="1" x14ac:dyDescent="0.2">
      <c r="A300" s="12"/>
      <c r="B300" s="206">
        <f>'(FnCalls 1)'!A6</f>
        <v>40452</v>
      </c>
      <c r="C300" s="208">
        <f>'(FnCalls 1)'!A4</f>
        <v>40179</v>
      </c>
      <c r="D300" s="206">
        <f>'(FnCalls 1)'!A7</f>
        <v>40544</v>
      </c>
      <c r="E300" s="206">
        <f>'(FnCalls 1)'!A8</f>
        <v>40634</v>
      </c>
      <c r="F300" s="206">
        <f>'(FnCalls 1)'!A9</f>
        <v>40725</v>
      </c>
      <c r="G300" s="206">
        <f>'(FnCalls 1)'!A10</f>
        <v>40817</v>
      </c>
      <c r="H300" s="208">
        <f>'(FnCalls 1)'!A7</f>
        <v>40544</v>
      </c>
      <c r="I300" s="206">
        <f>'(FnCalls 1)'!A11</f>
        <v>40909</v>
      </c>
      <c r="J300" s="206">
        <f>'(FnCalls 1)'!A12</f>
        <v>41000</v>
      </c>
      <c r="K300" s="206">
        <f>'(FnCalls 1)'!A13</f>
        <v>41091</v>
      </c>
      <c r="L300" s="206">
        <f>'(FnCalls 1)'!A14</f>
        <v>41183</v>
      </c>
      <c r="M300" s="208">
        <f>'(FnCalls 1)'!A11</f>
        <v>40909</v>
      </c>
    </row>
    <row r="301" spans="1:13" ht="12.75" customHeight="1" x14ac:dyDescent="0.2">
      <c r="A301" s="1" t="str">
        <f>"DCF_Cum_2"</f>
        <v>DCF_Cum_2</v>
      </c>
    </row>
    <row r="302" spans="1:13" ht="12.75" customHeight="1" x14ac:dyDescent="0.2">
      <c r="B302" s="17" t="str">
        <f>'(FnCalls 1)'!G6</f>
        <v>Q4 2010</v>
      </c>
      <c r="C302" s="62" t="str">
        <f>'(FnCalls 1)'!H4</f>
        <v>2010</v>
      </c>
      <c r="D302" s="18" t="str">
        <f>'(FnCalls 1)'!G7</f>
        <v>Q1 2011</v>
      </c>
      <c r="E302" s="18" t="str">
        <f>'(FnCalls 1)'!G8</f>
        <v>Q2 2011</v>
      </c>
      <c r="F302" s="18" t="str">
        <f>'(FnCalls 1)'!G9</f>
        <v>Q3 2011</v>
      </c>
      <c r="G302" s="18" t="str">
        <f>'(FnCalls 1)'!G10</f>
        <v>Q4 2011</v>
      </c>
      <c r="H302" s="62" t="str">
        <f>'(FnCalls 1)'!H7</f>
        <v>2011</v>
      </c>
      <c r="I302" s="18" t="str">
        <f>'(FnCalls 1)'!G11</f>
        <v>Q1 2012</v>
      </c>
      <c r="J302" s="18" t="str">
        <f>'(FnCalls 1)'!G12</f>
        <v>Q2 2012</v>
      </c>
      <c r="K302" s="18" t="str">
        <f>'(FnCalls 1)'!G13</f>
        <v>Q3 2012</v>
      </c>
      <c r="L302" s="18" t="str">
        <f>'(FnCalls 1)'!G14</f>
        <v>Q4 2012</v>
      </c>
      <c r="M302" s="62" t="str">
        <f>'(FnCalls 1)'!H11</f>
        <v>2012</v>
      </c>
    </row>
    <row r="303" spans="1:13" ht="12.75" customHeight="1" x14ac:dyDescent="0.2">
      <c r="A303" s="12"/>
      <c r="B303" s="206" t="str">
        <f>'(FnCalls 1)'!G6</f>
        <v>Q4 2010</v>
      </c>
      <c r="C303" s="208" t="str">
        <f>'(FnCalls 1)'!G4</f>
        <v>Q1 2010</v>
      </c>
      <c r="D303" s="206" t="str">
        <f>'(FnCalls 1)'!G7</f>
        <v>Q1 2011</v>
      </c>
      <c r="E303" s="206" t="str">
        <f>'(FnCalls 1)'!G8</f>
        <v>Q2 2011</v>
      </c>
      <c r="F303" s="206" t="str">
        <f>'(FnCalls 1)'!G9</f>
        <v>Q3 2011</v>
      </c>
      <c r="G303" s="206" t="str">
        <f>'(FnCalls 1)'!G10</f>
        <v>Q4 2011</v>
      </c>
      <c r="H303" s="208" t="str">
        <f>'(FnCalls 1)'!G7</f>
        <v>Q1 2011</v>
      </c>
      <c r="I303" s="206" t="str">
        <f>'(FnCalls 1)'!G11</f>
        <v>Q1 2012</v>
      </c>
      <c r="J303" s="206" t="str">
        <f>'(FnCalls 1)'!G12</f>
        <v>Q2 2012</v>
      </c>
      <c r="K303" s="206" t="str">
        <f>'(FnCalls 1)'!G13</f>
        <v>Q3 2012</v>
      </c>
      <c r="L303" s="206" t="str">
        <f>'(FnCalls 1)'!G14</f>
        <v>Q4 2012</v>
      </c>
      <c r="M303" s="208" t="str">
        <f>'(FnCalls 1)'!G11</f>
        <v>Q1 2012</v>
      </c>
    </row>
    <row r="304" spans="1:13" ht="12.75" customHeight="1" x14ac:dyDescent="0.2">
      <c r="A304" s="1" t="str">
        <f>"EBITDA_plt_1"</f>
        <v>EBITDA_plt_1</v>
      </c>
    </row>
    <row r="305" spans="1:13" ht="12.75" customHeight="1" x14ac:dyDescent="0.2">
      <c r="B305" s="17" t="str">
        <f>'(FnCalls 1)'!G7</f>
        <v>Q1 2011</v>
      </c>
      <c r="C305" s="18" t="str">
        <f>'(FnCalls 1)'!G8</f>
        <v>Q2 2011</v>
      </c>
      <c r="D305" s="18" t="str">
        <f>'(FnCalls 1)'!G9</f>
        <v>Q3 2011</v>
      </c>
      <c r="E305" s="18" t="str">
        <f>'(FnCalls 1)'!G10</f>
        <v>Q4 2011</v>
      </c>
      <c r="F305" s="62" t="str">
        <f>'(FnCalls 1)'!H7</f>
        <v>2011</v>
      </c>
      <c r="G305" s="18" t="str">
        <f>'(FnCalls 1)'!G11</f>
        <v>Q1 2012</v>
      </c>
      <c r="H305" s="18" t="str">
        <f>'(FnCalls 1)'!G12</f>
        <v>Q2 2012</v>
      </c>
      <c r="I305" s="18" t="str">
        <f>'(FnCalls 1)'!G13</f>
        <v>Q3 2012</v>
      </c>
      <c r="J305" s="18" t="str">
        <f>'(FnCalls 1)'!G14</f>
        <v>Q4 2012</v>
      </c>
      <c r="K305" s="62" t="str">
        <f>'(FnCalls 1)'!H11</f>
        <v>2012</v>
      </c>
    </row>
    <row r="306" spans="1:13" ht="12.75" customHeight="1" x14ac:dyDescent="0.2">
      <c r="A306" s="12"/>
      <c r="B306" s="206">
        <f>'(FnCalls 1)'!A7</f>
        <v>40544</v>
      </c>
      <c r="C306" s="206">
        <f>'(FnCalls 1)'!A8</f>
        <v>40634</v>
      </c>
      <c r="D306" s="206">
        <f>'(FnCalls 1)'!A9</f>
        <v>40725</v>
      </c>
      <c r="E306" s="206">
        <f>'(FnCalls 1)'!A10</f>
        <v>40817</v>
      </c>
      <c r="F306" s="208">
        <f>'(FnCalls 1)'!A7</f>
        <v>40544</v>
      </c>
      <c r="G306" s="206">
        <f>'(FnCalls 1)'!A11</f>
        <v>40909</v>
      </c>
      <c r="H306" s="206">
        <f>'(FnCalls 1)'!A12</f>
        <v>41000</v>
      </c>
      <c r="I306" s="206">
        <f>'(FnCalls 1)'!A13</f>
        <v>41091</v>
      </c>
      <c r="J306" s="206">
        <f>'(FnCalls 1)'!A14</f>
        <v>41183</v>
      </c>
      <c r="K306" s="208">
        <f>'(FnCalls 1)'!A11</f>
        <v>40909</v>
      </c>
    </row>
    <row r="307" spans="1:13" ht="12.75" customHeight="1" x14ac:dyDescent="0.2">
      <c r="A307" s="1" t="str">
        <f>"EBITDA_plt_2"</f>
        <v>EBITDA_plt_2</v>
      </c>
    </row>
    <row r="308" spans="1:13" ht="12.75" customHeight="1" x14ac:dyDescent="0.2">
      <c r="B308" s="17" t="str">
        <f>'(FnCalls 1)'!G7</f>
        <v>Q1 2011</v>
      </c>
      <c r="C308" s="18" t="str">
        <f>'(FnCalls 1)'!G8</f>
        <v>Q2 2011</v>
      </c>
      <c r="D308" s="18" t="str">
        <f>'(FnCalls 1)'!G9</f>
        <v>Q3 2011</v>
      </c>
      <c r="E308" s="18" t="str">
        <f>'(FnCalls 1)'!G10</f>
        <v>Q4 2011</v>
      </c>
      <c r="F308" s="62" t="str">
        <f>'(FnCalls 1)'!H7</f>
        <v>2011</v>
      </c>
      <c r="G308" s="18" t="str">
        <f>'(FnCalls 1)'!G11</f>
        <v>Q1 2012</v>
      </c>
      <c r="H308" s="18" t="str">
        <f>'(FnCalls 1)'!G12</f>
        <v>Q2 2012</v>
      </c>
      <c r="I308" s="18" t="str">
        <f>'(FnCalls 1)'!G13</f>
        <v>Q3 2012</v>
      </c>
      <c r="J308" s="18" t="str">
        <f>'(FnCalls 1)'!G14</f>
        <v>Q4 2012</v>
      </c>
      <c r="K308" s="62" t="str">
        <f>'(FnCalls 1)'!H11</f>
        <v>2012</v>
      </c>
    </row>
    <row r="309" spans="1:13" ht="12.75" customHeight="1" x14ac:dyDescent="0.2">
      <c r="A309" s="12"/>
      <c r="B309" s="206" t="str">
        <f>'(FnCalls 1)'!G7</f>
        <v>Q1 2011</v>
      </c>
      <c r="C309" s="206" t="str">
        <f>'(FnCalls 1)'!G8</f>
        <v>Q2 2011</v>
      </c>
      <c r="D309" s="206" t="str">
        <f>'(FnCalls 1)'!G9</f>
        <v>Q3 2011</v>
      </c>
      <c r="E309" s="206" t="str">
        <f>'(FnCalls 1)'!G10</f>
        <v>Q4 2011</v>
      </c>
      <c r="F309" s="208" t="str">
        <f>'(FnCalls 1)'!G7</f>
        <v>Q1 2011</v>
      </c>
      <c r="G309" s="206" t="str">
        <f>'(FnCalls 1)'!G11</f>
        <v>Q1 2012</v>
      </c>
      <c r="H309" s="206" t="str">
        <f>'(FnCalls 1)'!G12</f>
        <v>Q2 2012</v>
      </c>
      <c r="I309" s="206" t="str">
        <f>'(FnCalls 1)'!G13</f>
        <v>Q3 2012</v>
      </c>
      <c r="J309" s="206" t="str">
        <f>'(FnCalls 1)'!G14</f>
        <v>Q4 2012</v>
      </c>
      <c r="K309" s="208" t="str">
        <f>'(FnCalls 1)'!G11</f>
        <v>Q1 2012</v>
      </c>
    </row>
    <row r="310" spans="1:13" ht="12.75" customHeight="1" x14ac:dyDescent="0.2">
      <c r="A310" s="1" t="str">
        <f>"Net_Income_plt_1"</f>
        <v>Net_Income_plt_1</v>
      </c>
    </row>
    <row r="311" spans="1:13" ht="12.75" customHeight="1" x14ac:dyDescent="0.2">
      <c r="B311" s="17" t="str">
        <f>'(FnCalls 1)'!G7</f>
        <v>Q1 2011</v>
      </c>
      <c r="C311" s="18" t="str">
        <f>'(FnCalls 1)'!G8</f>
        <v>Q2 2011</v>
      </c>
      <c r="D311" s="18" t="str">
        <f>'(FnCalls 1)'!G9</f>
        <v>Q3 2011</v>
      </c>
      <c r="E311" s="18" t="str">
        <f>'(FnCalls 1)'!G10</f>
        <v>Q4 2011</v>
      </c>
      <c r="F311" s="62" t="str">
        <f>'(FnCalls 1)'!H7</f>
        <v>2011</v>
      </c>
      <c r="G311" s="18" t="str">
        <f>'(FnCalls 1)'!G11</f>
        <v>Q1 2012</v>
      </c>
      <c r="H311" s="18" t="str">
        <f>'(FnCalls 1)'!G12</f>
        <v>Q2 2012</v>
      </c>
      <c r="I311" s="18" t="str">
        <f>'(FnCalls 1)'!G13</f>
        <v>Q3 2012</v>
      </c>
      <c r="J311" s="18" t="str">
        <f>'(FnCalls 1)'!G14</f>
        <v>Q4 2012</v>
      </c>
      <c r="K311" s="62" t="str">
        <f>'(FnCalls 1)'!H11</f>
        <v>2012</v>
      </c>
    </row>
    <row r="312" spans="1:13" ht="12.75" customHeight="1" x14ac:dyDescent="0.2">
      <c r="A312" s="12"/>
      <c r="B312" s="206">
        <f>'(FnCalls 1)'!A7</f>
        <v>40544</v>
      </c>
      <c r="C312" s="206">
        <f>'(FnCalls 1)'!A8</f>
        <v>40634</v>
      </c>
      <c r="D312" s="206">
        <f>'(FnCalls 1)'!A9</f>
        <v>40725</v>
      </c>
      <c r="E312" s="206">
        <f>'(FnCalls 1)'!A10</f>
        <v>40817</v>
      </c>
      <c r="F312" s="208">
        <f>'(FnCalls 1)'!A7</f>
        <v>40544</v>
      </c>
      <c r="G312" s="206">
        <f>'(FnCalls 1)'!A11</f>
        <v>40909</v>
      </c>
      <c r="H312" s="206">
        <f>'(FnCalls 1)'!A12</f>
        <v>41000</v>
      </c>
      <c r="I312" s="206">
        <f>'(FnCalls 1)'!A13</f>
        <v>41091</v>
      </c>
      <c r="J312" s="206">
        <f>'(FnCalls 1)'!A14</f>
        <v>41183</v>
      </c>
      <c r="K312" s="208">
        <f>'(FnCalls 1)'!A11</f>
        <v>40909</v>
      </c>
    </row>
    <row r="313" spans="1:13" ht="12.75" customHeight="1" x14ac:dyDescent="0.2">
      <c r="A313" s="1" t="str">
        <f>"Net_Income_plt_2"</f>
        <v>Net_Income_plt_2</v>
      </c>
    </row>
    <row r="314" spans="1:13" ht="12.75" customHeight="1" x14ac:dyDescent="0.2">
      <c r="B314" s="17" t="str">
        <f>'(FnCalls 1)'!G7</f>
        <v>Q1 2011</v>
      </c>
      <c r="C314" s="18" t="str">
        <f>'(FnCalls 1)'!G8</f>
        <v>Q2 2011</v>
      </c>
      <c r="D314" s="18" t="str">
        <f>'(FnCalls 1)'!G9</f>
        <v>Q3 2011</v>
      </c>
      <c r="E314" s="18" t="str">
        <f>'(FnCalls 1)'!G10</f>
        <v>Q4 2011</v>
      </c>
      <c r="F314" s="62" t="str">
        <f>'(FnCalls 1)'!H7</f>
        <v>2011</v>
      </c>
      <c r="G314" s="18" t="str">
        <f>'(FnCalls 1)'!G11</f>
        <v>Q1 2012</v>
      </c>
      <c r="H314" s="18" t="str">
        <f>'(FnCalls 1)'!G12</f>
        <v>Q2 2012</v>
      </c>
      <c r="I314" s="18" t="str">
        <f>'(FnCalls 1)'!G13</f>
        <v>Q3 2012</v>
      </c>
      <c r="J314" s="18" t="str">
        <f>'(FnCalls 1)'!G14</f>
        <v>Q4 2012</v>
      </c>
      <c r="K314" s="62" t="str">
        <f>'(FnCalls 1)'!H11</f>
        <v>2012</v>
      </c>
    </row>
    <row r="315" spans="1:13" ht="12.75" customHeight="1" x14ac:dyDescent="0.2">
      <c r="A315" s="12"/>
      <c r="B315" s="206" t="str">
        <f>'(FnCalls 1)'!G7</f>
        <v>Q1 2011</v>
      </c>
      <c r="C315" s="206" t="str">
        <f>'(FnCalls 1)'!G8</f>
        <v>Q2 2011</v>
      </c>
      <c r="D315" s="206" t="str">
        <f>'(FnCalls 1)'!G9</f>
        <v>Q3 2011</v>
      </c>
      <c r="E315" s="206" t="str">
        <f>'(FnCalls 1)'!G10</f>
        <v>Q4 2011</v>
      </c>
      <c r="F315" s="208" t="str">
        <f>'(FnCalls 1)'!G7</f>
        <v>Q1 2011</v>
      </c>
      <c r="G315" s="206" t="str">
        <f>'(FnCalls 1)'!G11</f>
        <v>Q1 2012</v>
      </c>
      <c r="H315" s="206" t="str">
        <f>'(FnCalls 1)'!G12</f>
        <v>Q2 2012</v>
      </c>
      <c r="I315" s="206" t="str">
        <f>'(FnCalls 1)'!G13</f>
        <v>Q3 2012</v>
      </c>
      <c r="J315" s="206" t="str">
        <f>'(FnCalls 1)'!G14</f>
        <v>Q4 2012</v>
      </c>
      <c r="K315" s="208" t="str">
        <f>'(FnCalls 1)'!G11</f>
        <v>Q1 2012</v>
      </c>
    </row>
    <row r="316" spans="1:13" ht="12.75" customHeight="1" x14ac:dyDescent="0.2">
      <c r="A316" s="1" t="str">
        <f>"Valuation_plt_1"</f>
        <v>Valuation_plt_1</v>
      </c>
    </row>
    <row r="317" spans="1:13" ht="12.75" customHeight="1" x14ac:dyDescent="0.2">
      <c r="B317" s="17" t="str">
        <f>'(FnCalls 1)'!G6</f>
        <v>Q4 2010</v>
      </c>
      <c r="C317" s="62" t="str">
        <f>'(FnCalls 1)'!H4</f>
        <v>2010</v>
      </c>
      <c r="D317" s="18" t="str">
        <f>'(FnCalls 1)'!G7</f>
        <v>Q1 2011</v>
      </c>
      <c r="E317" s="18" t="str">
        <f>'(FnCalls 1)'!G8</f>
        <v>Q2 2011</v>
      </c>
      <c r="F317" s="18" t="str">
        <f>'(FnCalls 1)'!G9</f>
        <v>Q3 2011</v>
      </c>
      <c r="G317" s="18" t="str">
        <f>'(FnCalls 1)'!G10</f>
        <v>Q4 2011</v>
      </c>
      <c r="H317" s="62" t="str">
        <f>'(FnCalls 1)'!H7</f>
        <v>2011</v>
      </c>
      <c r="I317" s="18" t="str">
        <f>'(FnCalls 1)'!G11</f>
        <v>Q1 2012</v>
      </c>
      <c r="J317" s="18" t="str">
        <f>'(FnCalls 1)'!G12</f>
        <v>Q2 2012</v>
      </c>
      <c r="K317" s="18" t="str">
        <f>'(FnCalls 1)'!G13</f>
        <v>Q3 2012</v>
      </c>
      <c r="L317" s="18" t="str">
        <f>'(FnCalls 1)'!G14</f>
        <v>Q4 2012</v>
      </c>
      <c r="M317" s="62" t="str">
        <f>'(FnCalls 1)'!H11</f>
        <v>2012</v>
      </c>
    </row>
    <row r="318" spans="1:13" ht="12.75" customHeight="1" x14ac:dyDescent="0.2">
      <c r="A318" s="12"/>
      <c r="B318" s="206">
        <f>'(FnCalls 1)'!A6</f>
        <v>40452</v>
      </c>
      <c r="C318" s="208">
        <f>'(FnCalls 1)'!A4</f>
        <v>40179</v>
      </c>
      <c r="D318" s="206">
        <f>'(FnCalls 1)'!A7</f>
        <v>40544</v>
      </c>
      <c r="E318" s="206">
        <f>'(FnCalls 1)'!A8</f>
        <v>40634</v>
      </c>
      <c r="F318" s="206">
        <f>'(FnCalls 1)'!A9</f>
        <v>40725</v>
      </c>
      <c r="G318" s="206">
        <f>'(FnCalls 1)'!A10</f>
        <v>40817</v>
      </c>
      <c r="H318" s="208">
        <f>'(FnCalls 1)'!A7</f>
        <v>40544</v>
      </c>
      <c r="I318" s="206">
        <f>'(FnCalls 1)'!A11</f>
        <v>40909</v>
      </c>
      <c r="J318" s="206">
        <f>'(FnCalls 1)'!A12</f>
        <v>41000</v>
      </c>
      <c r="K318" s="206">
        <f>'(FnCalls 1)'!A13</f>
        <v>41091</v>
      </c>
      <c r="L318" s="206">
        <f>'(FnCalls 1)'!A14</f>
        <v>41183</v>
      </c>
      <c r="M318" s="208">
        <f>'(FnCalls 1)'!A11</f>
        <v>40909</v>
      </c>
    </row>
    <row r="319" spans="1:13" ht="12.75" customHeight="1" x14ac:dyDescent="0.2">
      <c r="A319" s="1" t="str">
        <f>"Valuation_plt_2"</f>
        <v>Valuation_plt_2</v>
      </c>
    </row>
    <row r="320" spans="1:13" ht="12.75" customHeight="1" x14ac:dyDescent="0.2">
      <c r="B320" s="17" t="str">
        <f>'(FnCalls 1)'!G6</f>
        <v>Q4 2010</v>
      </c>
      <c r="C320" s="62" t="str">
        <f>'(FnCalls 1)'!H4</f>
        <v>2010</v>
      </c>
      <c r="D320" s="18" t="str">
        <f>'(FnCalls 1)'!G7</f>
        <v>Q1 2011</v>
      </c>
      <c r="E320" s="18" t="str">
        <f>'(FnCalls 1)'!G8</f>
        <v>Q2 2011</v>
      </c>
      <c r="F320" s="18" t="str">
        <f>'(FnCalls 1)'!G9</f>
        <v>Q3 2011</v>
      </c>
      <c r="G320" s="18" t="str">
        <f>'(FnCalls 1)'!G10</f>
        <v>Q4 2011</v>
      </c>
      <c r="H320" s="62" t="str">
        <f>'(FnCalls 1)'!H7</f>
        <v>2011</v>
      </c>
      <c r="I320" s="18" t="str">
        <f>'(FnCalls 1)'!G11</f>
        <v>Q1 2012</v>
      </c>
      <c r="J320" s="18" t="str">
        <f>'(FnCalls 1)'!G12</f>
        <v>Q2 2012</v>
      </c>
      <c r="K320" s="18" t="str">
        <f>'(FnCalls 1)'!G13</f>
        <v>Q3 2012</v>
      </c>
      <c r="L320" s="18" t="str">
        <f>'(FnCalls 1)'!G14</f>
        <v>Q4 2012</v>
      </c>
      <c r="M320" s="62" t="str">
        <f>'(FnCalls 1)'!H11</f>
        <v>2012</v>
      </c>
    </row>
    <row r="321" spans="1:13" ht="12.75" customHeight="1" x14ac:dyDescent="0.2">
      <c r="A321" s="12"/>
      <c r="B321" s="206" t="str">
        <f>'(FnCalls 1)'!G6</f>
        <v>Q4 2010</v>
      </c>
      <c r="C321" s="208" t="str">
        <f>'(FnCalls 1)'!G4</f>
        <v>Q1 2010</v>
      </c>
      <c r="D321" s="206" t="str">
        <f>'(FnCalls 1)'!G7</f>
        <v>Q1 2011</v>
      </c>
      <c r="E321" s="206" t="str">
        <f>'(FnCalls 1)'!G8</f>
        <v>Q2 2011</v>
      </c>
      <c r="F321" s="206" t="str">
        <f>'(FnCalls 1)'!G9</f>
        <v>Q3 2011</v>
      </c>
      <c r="G321" s="206" t="str">
        <f>'(FnCalls 1)'!G10</f>
        <v>Q4 2011</v>
      </c>
      <c r="H321" s="208" t="str">
        <f>'(FnCalls 1)'!G7</f>
        <v>Q1 2011</v>
      </c>
      <c r="I321" s="206" t="str">
        <f>'(FnCalls 1)'!G11</f>
        <v>Q1 2012</v>
      </c>
      <c r="J321" s="206" t="str">
        <f>'(FnCalls 1)'!G12</f>
        <v>Q2 2012</v>
      </c>
      <c r="K321" s="206" t="str">
        <f>'(FnCalls 1)'!G13</f>
        <v>Q3 2012</v>
      </c>
      <c r="L321" s="206" t="str">
        <f>'(FnCalls 1)'!G14</f>
        <v>Q4 2012</v>
      </c>
      <c r="M321" s="208" t="str">
        <f>'(FnCalls 1)'!G11</f>
        <v>Q1 2012</v>
      </c>
    </row>
  </sheetData>
  <mergeCells count="2">
    <mergeCell ref="A1:D1"/>
    <mergeCell ref="A2:D2"/>
  </mergeCells>
  <pageMargins left="0.25" right="0.25" top="0.5" bottom="0.5" header="0.5" footer="0.5"/>
  <pageSetup paperSize="9" fitToHeight="32767"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15"/>
  <sheetViews>
    <sheetView zoomScaleNormal="100" workbookViewId="0"/>
  </sheetViews>
  <sheetFormatPr defaultRowHeight="12.75" customHeight="1" x14ac:dyDescent="0.2"/>
  <sheetData>
    <row r="1" spans="1:8" ht="12.75" customHeight="1" x14ac:dyDescent="0.2">
      <c r="A1" s="270" t="str">
        <f>Inputs!E7</f>
        <v>ModelSheet Software</v>
      </c>
      <c r="B1" s="270"/>
      <c r="C1" s="270"/>
      <c r="D1" s="270"/>
    </row>
    <row r="2" spans="1:8" ht="12.75" customHeight="1" x14ac:dyDescent="0.2">
      <c r="A2" s="270" t="str">
        <f>Inputs!E9</f>
        <v>Project Test</v>
      </c>
      <c r="B2" s="270"/>
      <c r="C2" s="270"/>
      <c r="D2" s="270"/>
    </row>
    <row r="3" spans="1:8" ht="12.75" customHeight="1" x14ac:dyDescent="0.2">
      <c r="A3" s="4">
        <f>IF(WEEKDAY(Labels!B3)&gt;=1,Labels!B3-WEEKDAY(Labels!B3)+1,Labels!B3-(7-(1-WEEKDAY(Labels!B3))))</f>
        <v>40538</v>
      </c>
    </row>
    <row r="4" spans="1:8" ht="12.75" customHeight="1" x14ac:dyDescent="0.2">
      <c r="A4" s="4">
        <f>DATE(YEAR(Labels!B3)+(-1),MONTH(Labels!B3)+(0),1)</f>
        <v>40179</v>
      </c>
      <c r="C4" s="4">
        <f>Labels!B3+(-365)</f>
        <v>40179</v>
      </c>
      <c r="D4" t="e">
        <f t="shared" ref="D4:D15" si="0">TEXT(C4,"m/d/yyyy")</f>
        <v>#VALUE!</v>
      </c>
      <c r="F4" t="str">
        <f t="shared" ref="F4:F15" si="1">TEXT(A4,"MMM yyyy")</f>
        <v>MMM 2010</v>
      </c>
      <c r="G4" t="str">
        <f t="shared" ref="G4:G15" si="2">"Q"&amp;(TRUNC((MONTH(A4)-1)/3)+1)&amp;" "&amp;YEAR(A4)</f>
        <v>Q1 2010</v>
      </c>
      <c r="H4" t="str">
        <f>TEXT(YEAR(A4),"0000")</f>
        <v>2010</v>
      </c>
    </row>
    <row r="5" spans="1:8" ht="12.75" customHeight="1" x14ac:dyDescent="0.2">
      <c r="A5" s="4">
        <f>DATE(YEAR(Labels!B3)+(-1),MONTH(Labels!B3)+(6),1)</f>
        <v>40360</v>
      </c>
      <c r="C5" s="4">
        <f>Labels!B3+(-184)</f>
        <v>40360</v>
      </c>
      <c r="D5" t="e">
        <f t="shared" si="0"/>
        <v>#VALUE!</v>
      </c>
      <c r="F5" t="str">
        <f t="shared" si="1"/>
        <v>MMM 2010</v>
      </c>
      <c r="G5" t="str">
        <f t="shared" si="2"/>
        <v>Q3 2010</v>
      </c>
    </row>
    <row r="6" spans="1:8" ht="12.75" customHeight="1" x14ac:dyDescent="0.2">
      <c r="A6" s="4">
        <f>DATE(YEAR(Labels!B3)+(-1),MONTH(Labels!B3)+(9),1)</f>
        <v>40452</v>
      </c>
      <c r="C6" s="4">
        <f>Labels!B3+(-92)</f>
        <v>40452</v>
      </c>
      <c r="D6" t="e">
        <f t="shared" si="0"/>
        <v>#VALUE!</v>
      </c>
      <c r="F6" t="str">
        <f t="shared" si="1"/>
        <v>MMM 2010</v>
      </c>
      <c r="G6" t="str">
        <f t="shared" si="2"/>
        <v>Q4 2010</v>
      </c>
    </row>
    <row r="7" spans="1:8" ht="12.75" customHeight="1" x14ac:dyDescent="0.2">
      <c r="A7" s="4">
        <f>DATE(YEAR(Labels!B3)+(0),MONTH(Labels!B3)+(0),1)</f>
        <v>40544</v>
      </c>
      <c r="C7" s="4">
        <f>Labels!B3+(0)</f>
        <v>40544</v>
      </c>
      <c r="D7" t="e">
        <f t="shared" si="0"/>
        <v>#VALUE!</v>
      </c>
      <c r="F7" t="str">
        <f t="shared" si="1"/>
        <v>MMM 2011</v>
      </c>
      <c r="G7" t="str">
        <f t="shared" si="2"/>
        <v>Q1 2011</v>
      </c>
      <c r="H7" t="str">
        <f>TEXT(YEAR(A7),"0000")</f>
        <v>2011</v>
      </c>
    </row>
    <row r="8" spans="1:8" ht="12.75" customHeight="1" x14ac:dyDescent="0.2">
      <c r="A8" s="4">
        <f>DATE(YEAR(Labels!B3)+(0),MONTH(Labels!B3)+(3),1)</f>
        <v>40634</v>
      </c>
      <c r="C8" s="4">
        <f>Labels!B3+(90)</f>
        <v>40634</v>
      </c>
      <c r="D8" t="e">
        <f t="shared" si="0"/>
        <v>#VALUE!</v>
      </c>
      <c r="F8" t="str">
        <f t="shared" si="1"/>
        <v>MMM 2011</v>
      </c>
      <c r="G8" t="str">
        <f t="shared" si="2"/>
        <v>Q2 2011</v>
      </c>
    </row>
    <row r="9" spans="1:8" ht="12.75" customHeight="1" x14ac:dyDescent="0.2">
      <c r="A9" s="4">
        <f>DATE(YEAR(Labels!B3)+(0),MONTH(Labels!B3)+(6),1)</f>
        <v>40725</v>
      </c>
      <c r="C9" s="4">
        <f>Labels!B3+(181)</f>
        <v>40725</v>
      </c>
      <c r="D9" t="e">
        <f t="shared" si="0"/>
        <v>#VALUE!</v>
      </c>
      <c r="F9" t="str">
        <f t="shared" si="1"/>
        <v>MMM 2011</v>
      </c>
      <c r="G9" t="str">
        <f t="shared" si="2"/>
        <v>Q3 2011</v>
      </c>
    </row>
    <row r="10" spans="1:8" ht="12.75" customHeight="1" x14ac:dyDescent="0.2">
      <c r="A10" s="4">
        <f>DATE(YEAR(Labels!B3)+(0),MONTH(Labels!B3)+(9),1)</f>
        <v>40817</v>
      </c>
      <c r="C10" s="4">
        <f>Labels!B3+(273)</f>
        <v>40817</v>
      </c>
      <c r="D10" t="e">
        <f t="shared" si="0"/>
        <v>#VALUE!</v>
      </c>
      <c r="F10" t="str">
        <f t="shared" si="1"/>
        <v>MMM 2011</v>
      </c>
      <c r="G10" t="str">
        <f t="shared" si="2"/>
        <v>Q4 2011</v>
      </c>
    </row>
    <row r="11" spans="1:8" ht="12.75" customHeight="1" x14ac:dyDescent="0.2">
      <c r="A11" s="4">
        <f>DATE(YEAR(Labels!B3)+(1),MONTH(Labels!B3)+(0),1)</f>
        <v>40909</v>
      </c>
      <c r="B11" s="4">
        <f>A3+(371)</f>
        <v>40909</v>
      </c>
      <c r="C11" s="4">
        <f>Labels!B3+(365)</f>
        <v>40909</v>
      </c>
      <c r="D11" t="e">
        <f t="shared" si="0"/>
        <v>#VALUE!</v>
      </c>
      <c r="E11" t="e">
        <f>"W "&amp;TEXT(B11,"m/d/yyyy")</f>
        <v>#VALUE!</v>
      </c>
      <c r="F11" t="str">
        <f t="shared" si="1"/>
        <v>MMM 2012</v>
      </c>
      <c r="G11" t="str">
        <f t="shared" si="2"/>
        <v>Q1 2012</v>
      </c>
      <c r="H11" t="str">
        <f>TEXT(YEAR(A11),"0000")</f>
        <v>2012</v>
      </c>
    </row>
    <row r="12" spans="1:8" ht="12.75" customHeight="1" x14ac:dyDescent="0.2">
      <c r="A12" s="4">
        <f>DATE(YEAR(Labels!B3)+(1),MONTH(Labels!B3)+(3),1)</f>
        <v>41000</v>
      </c>
      <c r="B12" s="4">
        <f>A3+(462)</f>
        <v>41000</v>
      </c>
      <c r="C12" s="4">
        <f>Labels!B3+(456)</f>
        <v>41000</v>
      </c>
      <c r="D12" t="e">
        <f t="shared" si="0"/>
        <v>#VALUE!</v>
      </c>
      <c r="E12" t="e">
        <f>"W "&amp;TEXT(B12,"m/d/yyyy")</f>
        <v>#VALUE!</v>
      </c>
      <c r="F12" t="str">
        <f t="shared" si="1"/>
        <v>MMM 2012</v>
      </c>
      <c r="G12" t="str">
        <f t="shared" si="2"/>
        <v>Q2 2012</v>
      </c>
    </row>
    <row r="13" spans="1:8" ht="12.75" customHeight="1" x14ac:dyDescent="0.2">
      <c r="A13" s="4">
        <f>DATE(YEAR(Labels!B3)+(1),MONTH(Labels!B3)+(6),1)</f>
        <v>41091</v>
      </c>
      <c r="B13" s="4">
        <f>A3+(553)</f>
        <v>41091</v>
      </c>
      <c r="C13" s="4">
        <f>Labels!B3+(547)</f>
        <v>41091</v>
      </c>
      <c r="D13" t="e">
        <f t="shared" si="0"/>
        <v>#VALUE!</v>
      </c>
      <c r="E13" t="e">
        <f>"W "&amp;TEXT(B13,"m/d/yyyy")</f>
        <v>#VALUE!</v>
      </c>
      <c r="F13" t="str">
        <f t="shared" si="1"/>
        <v>MMM 2012</v>
      </c>
      <c r="G13" t="str">
        <f t="shared" si="2"/>
        <v>Q3 2012</v>
      </c>
    </row>
    <row r="14" spans="1:8" ht="12.75" customHeight="1" x14ac:dyDescent="0.2">
      <c r="A14" s="4">
        <f>DATE(YEAR(Labels!B3)+(1),MONTH(Labels!B3)+(9),1)</f>
        <v>41183</v>
      </c>
      <c r="C14" s="4">
        <f>Labels!B3+(639)</f>
        <v>41183</v>
      </c>
      <c r="D14" t="e">
        <f t="shared" si="0"/>
        <v>#VALUE!</v>
      </c>
      <c r="F14" t="str">
        <f t="shared" si="1"/>
        <v>MMM 2012</v>
      </c>
      <c r="G14" t="str">
        <f t="shared" si="2"/>
        <v>Q4 2012</v>
      </c>
    </row>
    <row r="15" spans="1:8" ht="12.75" customHeight="1" x14ac:dyDescent="0.2">
      <c r="A15" s="4">
        <f>DATE(YEAR(Labels!B3)+(2),MONTH(Labels!B3)+(0),1)</f>
        <v>41275</v>
      </c>
      <c r="C15" s="4">
        <f>Labels!B3+(731)</f>
        <v>41275</v>
      </c>
      <c r="D15" t="e">
        <f t="shared" si="0"/>
        <v>#VALUE!</v>
      </c>
      <c r="F15" t="str">
        <f t="shared" si="1"/>
        <v>MMM 2013</v>
      </c>
      <c r="G15" t="str">
        <f t="shared" si="2"/>
        <v>Q1 2013</v>
      </c>
      <c r="H15" t="str">
        <f>TEXT(YEAR(A15),"0000")</f>
        <v>2013</v>
      </c>
    </row>
  </sheetData>
  <mergeCells count="2">
    <mergeCell ref="A1:D1"/>
    <mergeCell ref="A2:D2"/>
  </mergeCells>
  <pageMargins left="0.25" right="0.25" top="0.5" bottom="0.5" header="0.5" footer="0.5"/>
  <pageSetup paperSize="9" fitToHeight="32767"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291"/>
  <sheetViews>
    <sheetView zoomScaleNormal="100" workbookViewId="0"/>
  </sheetViews>
  <sheetFormatPr defaultRowHeight="12.75" customHeight="1" x14ac:dyDescent="0.2"/>
  <cols>
    <col min="1" max="1" width="33.42578125" customWidth="1"/>
    <col min="2" max="2" width="17.7109375" customWidth="1"/>
    <col min="3" max="3" width="17.85546875" customWidth="1"/>
    <col min="4" max="13" width="16" customWidth="1"/>
  </cols>
  <sheetData>
    <row r="1" spans="1:4" ht="12.75" customHeight="1" x14ac:dyDescent="0.2">
      <c r="A1" s="270" t="str">
        <f>Inputs!E7</f>
        <v>ModelSheet Software</v>
      </c>
      <c r="B1" s="270"/>
      <c r="C1" s="270"/>
      <c r="D1" s="270"/>
    </row>
    <row r="2" spans="1:4" ht="12.75" customHeight="1" x14ac:dyDescent="0.2">
      <c r="A2" s="270" t="str">
        <f>Inputs!E9</f>
        <v>Project Test</v>
      </c>
      <c r="B2" s="270"/>
      <c r="C2" s="270"/>
      <c r="D2" s="270"/>
    </row>
    <row r="3" spans="1:4" ht="12.75" customHeight="1" x14ac:dyDescent="0.2">
      <c r="A3" s="1" t="str">
        <f>Labels!B79</f>
        <v>Invest Tax Credit %</v>
      </c>
    </row>
    <row r="4" spans="1:4" ht="12.75" customHeight="1" x14ac:dyDescent="0.2">
      <c r="B4" s="17" t="str">
        <f>Labels!B182</f>
        <v>Catamarans</v>
      </c>
      <c r="C4" s="18" t="str">
        <f>Labels!B183</f>
        <v>Canoes</v>
      </c>
      <c r="D4" s="62" t="str">
        <f>Labels!C181</f>
        <v>Total</v>
      </c>
    </row>
    <row r="5" spans="1:4" ht="12.75" customHeight="1" x14ac:dyDescent="0.2">
      <c r="A5" s="111" t="str">
        <f>Labels!B170</f>
        <v>Invest 1</v>
      </c>
      <c r="B5" s="209">
        <f>Inputs!K17</f>
        <v>0</v>
      </c>
      <c r="C5" s="209">
        <f>Inputs!K19</f>
        <v>0</v>
      </c>
      <c r="D5" s="77">
        <f>AVERAGE(B5:C5)</f>
        <v>0</v>
      </c>
    </row>
    <row r="6" spans="1:4" ht="12.75" customHeight="1" x14ac:dyDescent="0.2">
      <c r="A6" s="117" t="str">
        <f>Labels!B171</f>
        <v>Invest 2</v>
      </c>
      <c r="B6" s="210">
        <f>Inputs!K18</f>
        <v>0</v>
      </c>
      <c r="C6" s="210">
        <f>Inputs!K20</f>
        <v>0</v>
      </c>
      <c r="D6" s="79">
        <f>AVERAGE(B6:C6)</f>
        <v>0</v>
      </c>
    </row>
    <row r="7" spans="1:4" ht="12.75" customHeight="1" x14ac:dyDescent="0.2">
      <c r="A7" s="12" t="str">
        <f>Labels!C169</f>
        <v>Total</v>
      </c>
      <c r="B7" s="211">
        <f>AVERAGE(B5:B6)</f>
        <v>0</v>
      </c>
      <c r="C7" s="211">
        <f>AVERAGE(C5:C6)</f>
        <v>0</v>
      </c>
      <c r="D7" s="212">
        <f>AVERAGE(B7:C7)</f>
        <v>0</v>
      </c>
    </row>
    <row r="8" spans="1:4" ht="12.75" customHeight="1" x14ac:dyDescent="0.2">
      <c r="A8" s="1" t="str">
        <f>Labels!B129</f>
        <v>Working Capital % Rev</v>
      </c>
    </row>
    <row r="9" spans="1:4" ht="12.75" customHeight="1" x14ac:dyDescent="0.2">
      <c r="B9" s="17" t="str">
        <f>Labels!B190</f>
        <v>Receivables</v>
      </c>
      <c r="C9" s="18" t="str">
        <f>Labels!B191</f>
        <v>Supplies inventory</v>
      </c>
      <c r="D9" s="62" t="str">
        <f>Labels!C189</f>
        <v>Total</v>
      </c>
    </row>
    <row r="10" spans="1:4" ht="12.75" customHeight="1" x14ac:dyDescent="0.2">
      <c r="A10" s="111" t="str">
        <f>Labels!B182</f>
        <v>Catamarans</v>
      </c>
      <c r="B10" s="209">
        <f>Inputs!E40</f>
        <v>0</v>
      </c>
      <c r="C10" s="209">
        <f>Inputs!F40</f>
        <v>0</v>
      </c>
      <c r="D10" s="77">
        <f>AVERAGE(B10:C10)</f>
        <v>0</v>
      </c>
    </row>
    <row r="11" spans="1:4" ht="12.75" customHeight="1" x14ac:dyDescent="0.2">
      <c r="A11" s="117" t="str">
        <f>Labels!B183</f>
        <v>Canoes</v>
      </c>
      <c r="B11" s="210">
        <f>Inputs!E41</f>
        <v>0</v>
      </c>
      <c r="C11" s="210">
        <f>Inputs!F41</f>
        <v>0</v>
      </c>
      <c r="D11" s="79">
        <f>AVERAGE(B11:C11)</f>
        <v>0</v>
      </c>
    </row>
    <row r="12" spans="1:4" ht="12.75" customHeight="1" x14ac:dyDescent="0.2">
      <c r="A12" s="12" t="str">
        <f>Labels!C181</f>
        <v>Total</v>
      </c>
      <c r="B12" s="211">
        <f>AVERAGE(B10:B11)</f>
        <v>0</v>
      </c>
      <c r="C12" s="211">
        <f>AVERAGE(C10:C11)</f>
        <v>0</v>
      </c>
      <c r="D12" s="212">
        <f>AVERAGE(B12:C12)</f>
        <v>0</v>
      </c>
    </row>
    <row r="13" spans="1:4" ht="12.75" customHeight="1" x14ac:dyDescent="0.2">
      <c r="A13" s="1" t="str">
        <f>Labels!B130</f>
        <v>Working Capital Residual %</v>
      </c>
    </row>
    <row r="14" spans="1:4" ht="12.75" customHeight="1" x14ac:dyDescent="0.2">
      <c r="B14" s="17" t="str">
        <f>Labels!B190</f>
        <v>Receivables</v>
      </c>
      <c r="C14" s="18" t="str">
        <f>Labels!B191</f>
        <v>Supplies inventory</v>
      </c>
      <c r="D14" s="62" t="str">
        <f>Labels!C189</f>
        <v>Total</v>
      </c>
    </row>
    <row r="15" spans="1:4" ht="12.75" customHeight="1" x14ac:dyDescent="0.2">
      <c r="A15" s="111" t="str">
        <f>Labels!B182</f>
        <v>Catamarans</v>
      </c>
      <c r="B15" s="209">
        <f>Inputs!E43</f>
        <v>0</v>
      </c>
      <c r="C15" s="209">
        <f>Inputs!F43</f>
        <v>0</v>
      </c>
      <c r="D15" s="77">
        <f>AVERAGE(B15:C15)</f>
        <v>0</v>
      </c>
    </row>
    <row r="16" spans="1:4" ht="12.75" customHeight="1" x14ac:dyDescent="0.2">
      <c r="A16" s="117" t="str">
        <f>Labels!B183</f>
        <v>Canoes</v>
      </c>
      <c r="B16" s="210">
        <f>Inputs!E44</f>
        <v>0</v>
      </c>
      <c r="C16" s="210">
        <f>Inputs!F44</f>
        <v>0</v>
      </c>
      <c r="D16" s="79">
        <f>AVERAGE(B16:C16)</f>
        <v>0</v>
      </c>
    </row>
    <row r="17" spans="1:10" ht="12.75" customHeight="1" x14ac:dyDescent="0.2">
      <c r="A17" s="12" t="str">
        <f>Labels!C181</f>
        <v>Total</v>
      </c>
      <c r="B17" s="211">
        <f>AVERAGE(B15:B16)</f>
        <v>0</v>
      </c>
      <c r="C17" s="211">
        <f>AVERAGE(C15:C16)</f>
        <v>0</v>
      </c>
      <c r="D17" s="212">
        <f>AVERAGE(B17:C17)</f>
        <v>0</v>
      </c>
    </row>
    <row r="18" spans="1:10" ht="12.75" customHeight="1" x14ac:dyDescent="0.2">
      <c r="A18" s="1" t="str">
        <f>Labels!B107</f>
        <v>Initial Sales Units</v>
      </c>
    </row>
    <row r="19" spans="1:10" ht="12.75" customHeight="1" x14ac:dyDescent="0.2">
      <c r="B19" s="17" t="str">
        <f>Labels!B182</f>
        <v>Catamarans</v>
      </c>
      <c r="C19" s="18" t="str">
        <f>Labels!B183</f>
        <v>Canoes</v>
      </c>
      <c r="D19" s="62" t="str">
        <f>Labels!C181</f>
        <v>Total</v>
      </c>
    </row>
    <row r="20" spans="1:10" ht="12.75" customHeight="1" x14ac:dyDescent="0.2">
      <c r="A20" s="111" t="str">
        <f>Labels!B174</f>
        <v>Product 1</v>
      </c>
      <c r="B20" s="213">
        <f>Inputs!E51</f>
        <v>0</v>
      </c>
      <c r="C20" s="213">
        <f>Inputs!F51</f>
        <v>0</v>
      </c>
      <c r="D20" s="72">
        <f>SUM(B20:C20)</f>
        <v>0</v>
      </c>
    </row>
    <row r="21" spans="1:10" ht="12.75" customHeight="1" x14ac:dyDescent="0.2">
      <c r="A21" s="12" t="str">
        <f>Labels!C173</f>
        <v>Total</v>
      </c>
      <c r="B21" s="214">
        <f>Inputs!E51</f>
        <v>0</v>
      </c>
      <c r="C21" s="214">
        <f>Inputs!F51</f>
        <v>0</v>
      </c>
      <c r="D21" s="215">
        <f>SUM(B21:C21)</f>
        <v>0</v>
      </c>
    </row>
    <row r="22" spans="1:10" ht="12.75" customHeight="1" x14ac:dyDescent="0.2">
      <c r="A22" s="1" t="str">
        <f>Labels!B106</f>
        <v>Sales Units Annualized Growth</v>
      </c>
    </row>
    <row r="23" spans="1:10" ht="12.75" customHeight="1" x14ac:dyDescent="0.2">
      <c r="B23" s="17" t="str">
        <f>'(FnCalls 1)'!G8</f>
        <v>Q2 2011</v>
      </c>
      <c r="C23" s="18" t="str">
        <f>'(FnCalls 1)'!G9</f>
        <v>Q3 2011</v>
      </c>
      <c r="D23" s="18" t="str">
        <f>'(FnCalls 1)'!G10</f>
        <v>Q4 2011</v>
      </c>
      <c r="E23" s="62" t="str">
        <f>'(FnCalls 1)'!H7</f>
        <v>2011</v>
      </c>
      <c r="F23" s="18" t="str">
        <f>'(FnCalls 1)'!G11</f>
        <v>Q1 2012</v>
      </c>
      <c r="G23" s="18" t="str">
        <f>'(FnCalls 1)'!G12</f>
        <v>Q2 2012</v>
      </c>
      <c r="H23" s="18" t="str">
        <f>'(FnCalls 1)'!G13</f>
        <v>Q3 2012</v>
      </c>
      <c r="I23" s="18" t="str">
        <f>'(FnCalls 1)'!G14</f>
        <v>Q4 2012</v>
      </c>
      <c r="J23" s="62" t="str">
        <f>'(FnCalls 1)'!H11</f>
        <v>2012</v>
      </c>
    </row>
    <row r="24" spans="1:10" ht="12.75" customHeight="1" x14ac:dyDescent="0.2">
      <c r="A24" s="111" t="str">
        <f>Labels!B182</f>
        <v>Catamarans</v>
      </c>
      <c r="B24" s="146"/>
      <c r="C24" s="146"/>
      <c r="D24" s="146"/>
      <c r="E24" s="65"/>
      <c r="F24" s="146"/>
      <c r="G24" s="146"/>
      <c r="H24" s="146"/>
      <c r="I24" s="146"/>
      <c r="J24" s="65"/>
    </row>
    <row r="25" spans="1:10" ht="12.75" customHeight="1" x14ac:dyDescent="0.2">
      <c r="A25" s="114" t="str">
        <f>"   "&amp;Labels!B174</f>
        <v xml:space="preserve">   Product 1</v>
      </c>
      <c r="B25" s="148">
        <f>Inputs!F54</f>
        <v>0</v>
      </c>
      <c r="C25" s="148">
        <f>Inputs!G54</f>
        <v>0</v>
      </c>
      <c r="D25" s="148">
        <f>Inputs!H54</f>
        <v>0</v>
      </c>
      <c r="E25" s="68">
        <f>AVERAGE(B25:D25)</f>
        <v>0</v>
      </c>
      <c r="F25" s="148">
        <f>Inputs!J54</f>
        <v>0</v>
      </c>
      <c r="G25" s="148">
        <f>Inputs!K54</f>
        <v>0</v>
      </c>
      <c r="H25" s="148">
        <f>Inputs!L54</f>
        <v>0</v>
      </c>
      <c r="I25" s="148">
        <f>Inputs!M54</f>
        <v>0</v>
      </c>
      <c r="J25" s="68">
        <f>AVERAGE(F25:I25)</f>
        <v>0</v>
      </c>
    </row>
    <row r="26" spans="1:10" ht="12.75" customHeight="1" x14ac:dyDescent="0.2">
      <c r="A26" s="117" t="str">
        <f>"   "&amp;Labels!C173</f>
        <v xml:space="preserve">   Total</v>
      </c>
      <c r="B26" s="149">
        <f>Inputs!F54</f>
        <v>0</v>
      </c>
      <c r="C26" s="149">
        <f>Inputs!G54</f>
        <v>0</v>
      </c>
      <c r="D26" s="149">
        <f>Inputs!H54</f>
        <v>0</v>
      </c>
      <c r="E26" s="68">
        <f>AVERAGE(B26:D26)</f>
        <v>0</v>
      </c>
      <c r="F26" s="149">
        <f>Inputs!J54</f>
        <v>0</v>
      </c>
      <c r="G26" s="149">
        <f>Inputs!K54</f>
        <v>0</v>
      </c>
      <c r="H26" s="149">
        <f>Inputs!L54</f>
        <v>0</v>
      </c>
      <c r="I26" s="149">
        <f>Inputs!M54</f>
        <v>0</v>
      </c>
      <c r="J26" s="68">
        <f>AVERAGE(F26:I26)</f>
        <v>0</v>
      </c>
    </row>
    <row r="27" spans="1:10" ht="12.75" customHeight="1" x14ac:dyDescent="0.2">
      <c r="A27" s="117" t="str">
        <f>Labels!B183</f>
        <v>Canoes</v>
      </c>
      <c r="B27" s="149"/>
      <c r="C27" s="149"/>
      <c r="D27" s="149"/>
      <c r="E27" s="68"/>
      <c r="F27" s="149"/>
      <c r="G27" s="149"/>
      <c r="H27" s="149"/>
      <c r="I27" s="149"/>
      <c r="J27" s="68"/>
    </row>
    <row r="28" spans="1:10" ht="12.75" customHeight="1" x14ac:dyDescent="0.2">
      <c r="A28" s="114" t="str">
        <f>"   "&amp;Labels!B174</f>
        <v xml:space="preserve">   Product 1</v>
      </c>
      <c r="B28" s="148">
        <f>Inputs!F55</f>
        <v>0</v>
      </c>
      <c r="C28" s="148">
        <f>Inputs!G55</f>
        <v>0</v>
      </c>
      <c r="D28" s="148">
        <f>Inputs!H55</f>
        <v>0</v>
      </c>
      <c r="E28" s="68">
        <f>AVERAGE(B28:D28)</f>
        <v>0</v>
      </c>
      <c r="F28" s="148">
        <f>Inputs!J55</f>
        <v>0</v>
      </c>
      <c r="G28" s="148">
        <f>Inputs!K55</f>
        <v>0</v>
      </c>
      <c r="H28" s="148">
        <f>Inputs!L55</f>
        <v>0</v>
      </c>
      <c r="I28" s="148">
        <f>Inputs!M55</f>
        <v>0</v>
      </c>
      <c r="J28" s="68">
        <f>AVERAGE(F28:I28)</f>
        <v>0</v>
      </c>
    </row>
    <row r="29" spans="1:10" ht="12.75" customHeight="1" x14ac:dyDescent="0.2">
      <c r="A29" s="117" t="str">
        <f>"   "&amp;Labels!C173</f>
        <v xml:space="preserve">   Total</v>
      </c>
      <c r="B29" s="149">
        <f>Inputs!F55</f>
        <v>0</v>
      </c>
      <c r="C29" s="149">
        <f>Inputs!G55</f>
        <v>0</v>
      </c>
      <c r="D29" s="149">
        <f>Inputs!H55</f>
        <v>0</v>
      </c>
      <c r="E29" s="68">
        <f>AVERAGE(B29:D29)</f>
        <v>0</v>
      </c>
      <c r="F29" s="149">
        <f>Inputs!J55</f>
        <v>0</v>
      </c>
      <c r="G29" s="149">
        <f>Inputs!K55</f>
        <v>0</v>
      </c>
      <c r="H29" s="149">
        <f>Inputs!L55</f>
        <v>0</v>
      </c>
      <c r="I29" s="149">
        <f>Inputs!M55</f>
        <v>0</v>
      </c>
      <c r="J29" s="68">
        <f>AVERAGE(F29:I29)</f>
        <v>0</v>
      </c>
    </row>
    <row r="30" spans="1:10" ht="12.75" customHeight="1" x14ac:dyDescent="0.2">
      <c r="A30" s="12" t="str">
        <f>Labels!C181</f>
        <v>Total</v>
      </c>
      <c r="B30" s="168">
        <f>AVERAGE(B26,B29)</f>
        <v>0</v>
      </c>
      <c r="C30" s="168">
        <f>AVERAGE(C26,C29)</f>
        <v>0</v>
      </c>
      <c r="D30" s="168">
        <f>AVERAGE(D26,D29)</f>
        <v>0</v>
      </c>
      <c r="E30" s="83">
        <f>AVERAGE(B30:D30)</f>
        <v>0</v>
      </c>
      <c r="F30" s="168">
        <f>AVERAGE(F26,F29)</f>
        <v>0</v>
      </c>
      <c r="G30" s="168">
        <f>AVERAGE(G26,G29)</f>
        <v>0</v>
      </c>
      <c r="H30" s="168">
        <f>AVERAGE(H26,H29)</f>
        <v>0</v>
      </c>
      <c r="I30" s="168">
        <f>AVERAGE(I26,I29)</f>
        <v>0</v>
      </c>
      <c r="J30" s="83">
        <f>AVERAGE(F30:I30)</f>
        <v>0</v>
      </c>
    </row>
    <row r="31" spans="1:10" ht="12.75" customHeight="1" x14ac:dyDescent="0.2">
      <c r="A31" s="114" t="str">
        <f>"   "&amp;Labels!B174</f>
        <v xml:space="preserve">   Product 1</v>
      </c>
      <c r="B31" s="148">
        <f t="shared" ref="B31:D32" si="0">AVERAGE(B25,B28)</f>
        <v>0</v>
      </c>
      <c r="C31" s="148">
        <f t="shared" si="0"/>
        <v>0</v>
      </c>
      <c r="D31" s="148">
        <f t="shared" si="0"/>
        <v>0</v>
      </c>
      <c r="E31" s="68">
        <f>AVERAGE(B31:D31)</f>
        <v>0</v>
      </c>
      <c r="F31" s="148">
        <f t="shared" ref="F31:I32" si="1">AVERAGE(F25,F28)</f>
        <v>0</v>
      </c>
      <c r="G31" s="148">
        <f t="shared" si="1"/>
        <v>0</v>
      </c>
      <c r="H31" s="148">
        <f t="shared" si="1"/>
        <v>0</v>
      </c>
      <c r="I31" s="148">
        <f t="shared" si="1"/>
        <v>0</v>
      </c>
      <c r="J31" s="68">
        <f>AVERAGE(F31:I31)</f>
        <v>0</v>
      </c>
    </row>
    <row r="32" spans="1:10" ht="12.75" customHeight="1" x14ac:dyDescent="0.2">
      <c r="A32" s="121" t="str">
        <f>"   "&amp;Labels!C173</f>
        <v xml:space="preserve">   Total</v>
      </c>
      <c r="B32" s="166">
        <f t="shared" si="0"/>
        <v>0</v>
      </c>
      <c r="C32" s="166">
        <f t="shared" si="0"/>
        <v>0</v>
      </c>
      <c r="D32" s="166">
        <f t="shared" si="0"/>
        <v>0</v>
      </c>
      <c r="E32" s="87">
        <f>AVERAGE(B30:D30)</f>
        <v>0</v>
      </c>
      <c r="F32" s="166">
        <f t="shared" si="1"/>
        <v>0</v>
      </c>
      <c r="G32" s="166">
        <f t="shared" si="1"/>
        <v>0</v>
      </c>
      <c r="H32" s="166">
        <f t="shared" si="1"/>
        <v>0</v>
      </c>
      <c r="I32" s="166">
        <f t="shared" si="1"/>
        <v>0</v>
      </c>
      <c r="J32" s="87">
        <f>AVERAGE(F30:I30)</f>
        <v>0</v>
      </c>
    </row>
    <row r="33" spans="1:13" ht="12.75" customHeight="1" x14ac:dyDescent="0.2">
      <c r="A33" s="1" t="str">
        <f>Labels!B81</f>
        <v>Invest Time (periods)</v>
      </c>
    </row>
    <row r="34" spans="1:13" ht="12.75" customHeight="1" x14ac:dyDescent="0.2">
      <c r="B34" s="17" t="str">
        <f>'(FnCalls 1)'!G6</f>
        <v>Q4 2010</v>
      </c>
      <c r="C34" s="62" t="str">
        <f>'(FnCalls 1)'!H4</f>
        <v>2010</v>
      </c>
      <c r="D34" s="18" t="str">
        <f>'(FnCalls 1)'!G7</f>
        <v>Q1 2011</v>
      </c>
      <c r="E34" s="18" t="str">
        <f>'(FnCalls 1)'!G8</f>
        <v>Q2 2011</v>
      </c>
      <c r="F34" s="18" t="str">
        <f>'(FnCalls 1)'!G9</f>
        <v>Q3 2011</v>
      </c>
      <c r="G34" s="18" t="str">
        <f>'(FnCalls 1)'!G10</f>
        <v>Q4 2011</v>
      </c>
      <c r="H34" s="62" t="str">
        <f>'(FnCalls 1)'!H7</f>
        <v>2011</v>
      </c>
      <c r="I34" s="18" t="str">
        <f>'(FnCalls 1)'!G11</f>
        <v>Q1 2012</v>
      </c>
      <c r="J34" s="18" t="str">
        <f>'(FnCalls 1)'!G12</f>
        <v>Q2 2012</v>
      </c>
      <c r="K34" s="18" t="str">
        <f>'(FnCalls 1)'!G13</f>
        <v>Q3 2012</v>
      </c>
      <c r="L34" s="18" t="str">
        <f>'(FnCalls 1)'!G14</f>
        <v>Q4 2012</v>
      </c>
      <c r="M34" s="62" t="str">
        <f>'(FnCalls 1)'!H11</f>
        <v>2012</v>
      </c>
    </row>
    <row r="35" spans="1:13" ht="12.75" customHeight="1" x14ac:dyDescent="0.2">
      <c r="A35" s="111" t="str">
        <f>Labels!B182</f>
        <v>Catamarans</v>
      </c>
      <c r="B35" s="135"/>
      <c r="C35" s="150"/>
      <c r="D35" s="135"/>
      <c r="E35" s="135"/>
      <c r="F35" s="135"/>
      <c r="G35" s="135"/>
      <c r="H35" s="150"/>
      <c r="I35" s="135"/>
      <c r="J35" s="135"/>
      <c r="K35" s="135"/>
      <c r="L35" s="135"/>
      <c r="M35" s="150"/>
    </row>
    <row r="36" spans="1:13" ht="12.75" customHeight="1" x14ac:dyDescent="0.2">
      <c r="A36" s="114" t="str">
        <f>"   "&amp;Labels!B170</f>
        <v xml:space="preserve">   Invest 1</v>
      </c>
      <c r="B36" s="216">
        <f>IF(OR('(FnCalls 1)'!A6-1-Inputs!F17&lt;0,Inputs!F17-INDEX('(Ranges)'!A13:J13,,MAX(1,'Plot Support'!B41-B49-1))&lt;0),0,IF(0&lt;B49,0+1,0))</f>
        <v>0</v>
      </c>
      <c r="C36" s="151">
        <f>L36</f>
        <v>8</v>
      </c>
      <c r="D36" s="216">
        <f>IF(OR('(FnCalls 1)'!A7-1-Inputs!F17&lt;0,Inputs!F17-INDEX('(Ranges)'!A13:J13,,MAX(1,'Plot Support'!B43-B49-1))&lt;0),0,IF(B36&lt;B49,B36+1,0))</f>
        <v>1</v>
      </c>
      <c r="E36" s="216">
        <f>IF(OR('(FnCalls 1)'!A8-1-Inputs!F17&lt;0,Inputs!F17-INDEX('(Ranges)'!A13:J13,,MAX(1,'Plot Support'!B44-B49-1))&lt;0),0,IF(D36&lt;B49,D36+1,0))</f>
        <v>2</v>
      </c>
      <c r="F36" s="216">
        <f>IF(OR('(FnCalls 1)'!A9-1-Inputs!F17&lt;0,Inputs!F17-INDEX('(Ranges)'!A13:J13,,MAX(1,'Plot Support'!B45-B49-1))&lt;0),0,IF(E36&lt;B49,E36+1,0))</f>
        <v>3</v>
      </c>
      <c r="G36" s="216">
        <f>IF(OR('(FnCalls 1)'!A10-1-Inputs!F17&lt;0,Inputs!F17-INDEX('(Ranges)'!A13:J13,,MAX(1,'Plot Support'!B46-B49-1))&lt;0),0,IF(F36&lt;B49,F36+1,0))</f>
        <v>4</v>
      </c>
      <c r="H36" s="151">
        <f>L36</f>
        <v>8</v>
      </c>
      <c r="I36" s="216">
        <f>IF(OR('(FnCalls 1)'!A11-1-Inputs!F17&lt;0,Inputs!F17-INDEX('(Ranges)'!A13:J13,,MAX(1,'Plot Support'!B48-B49-1))&lt;0),0,IF(G36&lt;B49,G36+1,0))</f>
        <v>5</v>
      </c>
      <c r="J36" s="216">
        <f>IF(OR('(FnCalls 1)'!A12-1-Inputs!F17&lt;0,Inputs!F17-INDEX('(Ranges)'!A13:J13,,MAX(1,'Plot Support'!B49-B49-1))&lt;0),0,IF(I36&lt;B49,I36+1,0))</f>
        <v>6</v>
      </c>
      <c r="K36" s="216">
        <f>IF(OR('(FnCalls 1)'!A13-1-Inputs!F17&lt;0,Inputs!F17-INDEX('(Ranges)'!A13:J13,,MAX(1,'Plot Support'!B50-B49-1))&lt;0),0,IF(J36&lt;B49,J36+1,0))</f>
        <v>7</v>
      </c>
      <c r="L36" s="216">
        <f>IF(OR('(FnCalls 1)'!A14-1-Inputs!F17&lt;0,Inputs!F17-INDEX('(Ranges)'!A13:J13,,MAX(1,'Plot Support'!B51-B49-1))&lt;0),0,IF(K36&lt;B49,K36+1,0))</f>
        <v>8</v>
      </c>
      <c r="M36" s="151">
        <f>L36</f>
        <v>8</v>
      </c>
    </row>
    <row r="37" spans="1:13" ht="12.75" customHeight="1" x14ac:dyDescent="0.2">
      <c r="A37" s="114" t="str">
        <f>"   "&amp;Labels!B171</f>
        <v xml:space="preserve">   Invest 2</v>
      </c>
      <c r="B37" s="216">
        <f>IF(OR('(FnCalls 1)'!A6-1-Inputs!F18&lt;0,Inputs!F18-INDEX('(Ranges)'!A13:J13,,MAX(1,'Plot Support'!B41-B50-1))&lt;0),0,IF(0&lt;B50,0+1,0))</f>
        <v>0</v>
      </c>
      <c r="C37" s="151">
        <f>L37</f>
        <v>8</v>
      </c>
      <c r="D37" s="216">
        <f>IF(OR('(FnCalls 1)'!A7-1-Inputs!F18&lt;0,Inputs!F18-INDEX('(Ranges)'!A13:J13,,MAX(1,'Plot Support'!B43-B50-1))&lt;0),0,IF(B37&lt;B50,B37+1,0))</f>
        <v>1</v>
      </c>
      <c r="E37" s="216">
        <f>IF(OR('(FnCalls 1)'!A8-1-Inputs!F18&lt;0,Inputs!F18-INDEX('(Ranges)'!A13:J13,,MAX(1,'Plot Support'!B44-B50-1))&lt;0),0,IF(D37&lt;B50,D37+1,0))</f>
        <v>2</v>
      </c>
      <c r="F37" s="216">
        <f>IF(OR('(FnCalls 1)'!A9-1-Inputs!F18&lt;0,Inputs!F18-INDEX('(Ranges)'!A13:J13,,MAX(1,'Plot Support'!B45-B50-1))&lt;0),0,IF(E37&lt;B50,E37+1,0))</f>
        <v>3</v>
      </c>
      <c r="G37" s="216">
        <f>IF(OR('(FnCalls 1)'!A10-1-Inputs!F18&lt;0,Inputs!F18-INDEX('(Ranges)'!A13:J13,,MAX(1,'Plot Support'!B46-B50-1))&lt;0),0,IF(F37&lt;B50,F37+1,0))</f>
        <v>4</v>
      </c>
      <c r="H37" s="151">
        <f>L37</f>
        <v>8</v>
      </c>
      <c r="I37" s="216">
        <f>IF(OR('(FnCalls 1)'!A11-1-Inputs!F18&lt;0,Inputs!F18-INDEX('(Ranges)'!A13:J13,,MAX(1,'Plot Support'!B48-B50-1))&lt;0),0,IF(G37&lt;B50,G37+1,0))</f>
        <v>5</v>
      </c>
      <c r="J37" s="216">
        <f>IF(OR('(FnCalls 1)'!A12-1-Inputs!F18&lt;0,Inputs!F18-INDEX('(Ranges)'!A13:J13,,MAX(1,'Plot Support'!B49-B50-1))&lt;0),0,IF(I37&lt;B50,I37+1,0))</f>
        <v>6</v>
      </c>
      <c r="K37" s="216">
        <f>IF(OR('(FnCalls 1)'!A13-1-Inputs!F18&lt;0,Inputs!F18-INDEX('(Ranges)'!A13:J13,,MAX(1,'Plot Support'!B50-B50-1))&lt;0),0,IF(J37&lt;B50,J37+1,0))</f>
        <v>7</v>
      </c>
      <c r="L37" s="216">
        <f>IF(OR('(FnCalls 1)'!A14-1-Inputs!F18&lt;0,Inputs!F18-INDEX('(Ranges)'!A13:J13,,MAX(1,'Plot Support'!B51-B50-1))&lt;0),0,IF(K37&lt;B50,K37+1,0))</f>
        <v>8</v>
      </c>
      <c r="M37" s="151">
        <f>L37</f>
        <v>8</v>
      </c>
    </row>
    <row r="38" spans="1:13" ht="12.75" customHeight="1" x14ac:dyDescent="0.2">
      <c r="A38" s="117" t="str">
        <f>"   "&amp;Labels!C169</f>
        <v xml:space="preserve">   Total</v>
      </c>
      <c r="B38" s="139">
        <f>MIN(1,MIN(B36:B37))</f>
        <v>0</v>
      </c>
      <c r="C38" s="151">
        <f>MIN(1,MIN(L36:L37))</f>
        <v>1</v>
      </c>
      <c r="D38" s="139">
        <f>MIN(1,MIN(D36:D37))</f>
        <v>1</v>
      </c>
      <c r="E38" s="139">
        <f>MIN(1,MIN(E36:E37))</f>
        <v>1</v>
      </c>
      <c r="F38" s="139">
        <f>MIN(1,MIN(F36:F37))</f>
        <v>1</v>
      </c>
      <c r="G38" s="139">
        <f>MIN(1,MIN(G36:G37))</f>
        <v>1</v>
      </c>
      <c r="H38" s="151">
        <f>MIN(1,MIN(L36:L37))</f>
        <v>1</v>
      </c>
      <c r="I38" s="139">
        <f>MIN(1,MIN(I36:I37))</f>
        <v>1</v>
      </c>
      <c r="J38" s="139">
        <f>MIN(1,MIN(J36:J37))</f>
        <v>1</v>
      </c>
      <c r="K38" s="139">
        <f>MIN(1,MIN(K36:K37))</f>
        <v>1</v>
      </c>
      <c r="L38" s="139">
        <f>MIN(1,MIN(L36:L37))</f>
        <v>1</v>
      </c>
      <c r="M38" s="151">
        <f>MIN(1,MIN(L36:L37))</f>
        <v>1</v>
      </c>
    </row>
    <row r="39" spans="1:13" ht="12.75" customHeight="1" x14ac:dyDescent="0.2">
      <c r="A39" s="117" t="str">
        <f>Labels!B183</f>
        <v>Canoes</v>
      </c>
      <c r="B39" s="139"/>
      <c r="C39" s="151"/>
      <c r="D39" s="139"/>
      <c r="E39" s="139"/>
      <c r="F39" s="139"/>
      <c r="G39" s="139"/>
      <c r="H39" s="151"/>
      <c r="I39" s="139"/>
      <c r="J39" s="139"/>
      <c r="K39" s="139"/>
      <c r="L39" s="139"/>
      <c r="M39" s="151"/>
    </row>
    <row r="40" spans="1:13" ht="12.75" customHeight="1" x14ac:dyDescent="0.2">
      <c r="A40" s="114" t="str">
        <f>"   "&amp;Labels!B170</f>
        <v xml:space="preserve">   Invest 1</v>
      </c>
      <c r="B40" s="216">
        <f>IF(OR('(FnCalls 1)'!A6-1-Inputs!F19&lt;0,Inputs!F19-INDEX('(Ranges)'!A13:J13,,MAX(1,'Plot Support'!B41-C49-1))&lt;0),0,IF(0&lt;C49,0+1,0))</f>
        <v>0</v>
      </c>
      <c r="C40" s="151">
        <f>L40</f>
        <v>7</v>
      </c>
      <c r="D40" s="216">
        <f>IF(OR('(FnCalls 1)'!A7-1-Inputs!F19&lt;0,Inputs!F19-INDEX('(Ranges)'!A13:J13,,MAX(1,'Plot Support'!B43-C49-1))&lt;0),0,IF(B40&lt;C49,B40+1,0))</f>
        <v>0</v>
      </c>
      <c r="E40" s="216">
        <f>IF(OR('(FnCalls 1)'!A8-1-Inputs!F19&lt;0,Inputs!F19-INDEX('(Ranges)'!A13:J13,,MAX(1,'Plot Support'!B44-C49-1))&lt;0),0,IF(D40&lt;C49,D40+1,0))</f>
        <v>1</v>
      </c>
      <c r="F40" s="216">
        <f>IF(OR('(FnCalls 1)'!A9-1-Inputs!F19&lt;0,Inputs!F19-INDEX('(Ranges)'!A13:J13,,MAX(1,'Plot Support'!B45-C49-1))&lt;0),0,IF(E40&lt;C49,E40+1,0))</f>
        <v>2</v>
      </c>
      <c r="G40" s="216">
        <f>IF(OR('(FnCalls 1)'!A10-1-Inputs!F19&lt;0,Inputs!F19-INDEX('(Ranges)'!A13:J13,,MAX(1,'Plot Support'!B46-C49-1))&lt;0),0,IF(F40&lt;C49,F40+1,0))</f>
        <v>3</v>
      </c>
      <c r="H40" s="151">
        <f>L40</f>
        <v>7</v>
      </c>
      <c r="I40" s="216">
        <f>IF(OR('(FnCalls 1)'!A11-1-Inputs!F19&lt;0,Inputs!F19-INDEX('(Ranges)'!A13:J13,,MAX(1,'Plot Support'!B48-C49-1))&lt;0),0,IF(G40&lt;C49,G40+1,0))</f>
        <v>4</v>
      </c>
      <c r="J40" s="216">
        <f>IF(OR('(FnCalls 1)'!A12-1-Inputs!F19&lt;0,Inputs!F19-INDEX('(Ranges)'!A13:J13,,MAX(1,'Plot Support'!B49-C49-1))&lt;0),0,IF(I40&lt;C49,I40+1,0))</f>
        <v>5</v>
      </c>
      <c r="K40" s="216">
        <f>IF(OR('(FnCalls 1)'!A13-1-Inputs!F19&lt;0,Inputs!F19-INDEX('(Ranges)'!A13:J13,,MAX(1,'Plot Support'!B50-C49-1))&lt;0),0,IF(J40&lt;C49,J40+1,0))</f>
        <v>6</v>
      </c>
      <c r="L40" s="216">
        <f>IF(OR('(FnCalls 1)'!A14-1-Inputs!F19&lt;0,Inputs!F19-INDEX('(Ranges)'!A13:J13,,MAX(1,'Plot Support'!B51-C49-1))&lt;0),0,IF(K40&lt;C49,K40+1,0))</f>
        <v>7</v>
      </c>
      <c r="M40" s="151">
        <f>L40</f>
        <v>7</v>
      </c>
    </row>
    <row r="41" spans="1:13" ht="12.75" customHeight="1" x14ac:dyDescent="0.2">
      <c r="A41" s="114" t="str">
        <f>"   "&amp;Labels!B171</f>
        <v xml:space="preserve">   Invest 2</v>
      </c>
      <c r="B41" s="216">
        <f>IF(OR('(FnCalls 1)'!A6-1-Inputs!F20&lt;0,Inputs!F20-INDEX('(Ranges)'!A13:J13,,MAX(1,'Plot Support'!B41-C50-1))&lt;0),0,IF(0&lt;C50,0+1,0))</f>
        <v>0</v>
      </c>
      <c r="C41" s="151">
        <f>L41</f>
        <v>7</v>
      </c>
      <c r="D41" s="216">
        <f>IF(OR('(FnCalls 1)'!A7-1-Inputs!F20&lt;0,Inputs!F20-INDEX('(Ranges)'!A13:J13,,MAX(1,'Plot Support'!B43-C50-1))&lt;0),0,IF(B41&lt;C50,B41+1,0))</f>
        <v>0</v>
      </c>
      <c r="E41" s="216">
        <f>IF(OR('(FnCalls 1)'!A8-1-Inputs!F20&lt;0,Inputs!F20-INDEX('(Ranges)'!A13:J13,,MAX(1,'Plot Support'!B44-C50-1))&lt;0),0,IF(D41&lt;C50,D41+1,0))</f>
        <v>1</v>
      </c>
      <c r="F41" s="216">
        <f>IF(OR('(FnCalls 1)'!A9-1-Inputs!F20&lt;0,Inputs!F20-INDEX('(Ranges)'!A13:J13,,MAX(1,'Plot Support'!B45-C50-1))&lt;0),0,IF(E41&lt;C50,E41+1,0))</f>
        <v>2</v>
      </c>
      <c r="G41" s="216">
        <f>IF(OR('(FnCalls 1)'!A10-1-Inputs!F20&lt;0,Inputs!F20-INDEX('(Ranges)'!A13:J13,,MAX(1,'Plot Support'!B46-C50-1))&lt;0),0,IF(F41&lt;C50,F41+1,0))</f>
        <v>3</v>
      </c>
      <c r="H41" s="151">
        <f>L41</f>
        <v>7</v>
      </c>
      <c r="I41" s="216">
        <f>IF(OR('(FnCalls 1)'!A11-1-Inputs!F20&lt;0,Inputs!F20-INDEX('(Ranges)'!A13:J13,,MAX(1,'Plot Support'!B48-C50-1))&lt;0),0,IF(G41&lt;C50,G41+1,0))</f>
        <v>4</v>
      </c>
      <c r="J41" s="216">
        <f>IF(OR('(FnCalls 1)'!A12-1-Inputs!F20&lt;0,Inputs!F20-INDEX('(Ranges)'!A13:J13,,MAX(1,'Plot Support'!B49-C50-1))&lt;0),0,IF(I41&lt;C50,I41+1,0))</f>
        <v>5</v>
      </c>
      <c r="K41" s="216">
        <f>IF(OR('(FnCalls 1)'!A13-1-Inputs!F20&lt;0,Inputs!F20-INDEX('(Ranges)'!A13:J13,,MAX(1,'Plot Support'!B50-C50-1))&lt;0),0,IF(J41&lt;C50,J41+1,0))</f>
        <v>6</v>
      </c>
      <c r="L41" s="216">
        <f>IF(OR('(FnCalls 1)'!A14-1-Inputs!F20&lt;0,Inputs!F20-INDEX('(Ranges)'!A13:J13,,MAX(1,'Plot Support'!B51-C50-1))&lt;0),0,IF(K41&lt;C50,K41+1,0))</f>
        <v>7</v>
      </c>
      <c r="M41" s="151">
        <f>L41</f>
        <v>7</v>
      </c>
    </row>
    <row r="42" spans="1:13" ht="12.75" customHeight="1" x14ac:dyDescent="0.2">
      <c r="A42" s="117" t="str">
        <f>"   "&amp;Labels!C169</f>
        <v xml:space="preserve">   Total</v>
      </c>
      <c r="B42" s="139">
        <f>MIN(1,MIN(B40:B41))</f>
        <v>0</v>
      </c>
      <c r="C42" s="151">
        <f>MIN(1,MIN(L40:L41))</f>
        <v>1</v>
      </c>
      <c r="D42" s="139">
        <f>MIN(1,MIN(D40:D41))</f>
        <v>0</v>
      </c>
      <c r="E42" s="139">
        <f>MIN(1,MIN(E40:E41))</f>
        <v>1</v>
      </c>
      <c r="F42" s="139">
        <f>MIN(1,MIN(F40:F41))</f>
        <v>1</v>
      </c>
      <c r="G42" s="139">
        <f>MIN(1,MIN(G40:G41))</f>
        <v>1</v>
      </c>
      <c r="H42" s="151">
        <f>MIN(1,MIN(L40:L41))</f>
        <v>1</v>
      </c>
      <c r="I42" s="139">
        <f>MIN(1,MIN(I40:I41))</f>
        <v>1</v>
      </c>
      <c r="J42" s="139">
        <f>MIN(1,MIN(J40:J41))</f>
        <v>1</v>
      </c>
      <c r="K42" s="139">
        <f>MIN(1,MIN(K40:K41))</f>
        <v>1</v>
      </c>
      <c r="L42" s="139">
        <f>MIN(1,MIN(L40:L41))</f>
        <v>1</v>
      </c>
      <c r="M42" s="151">
        <f>MIN(1,MIN(L40:L41))</f>
        <v>1</v>
      </c>
    </row>
    <row r="43" spans="1:13" ht="12.75" customHeight="1" x14ac:dyDescent="0.2">
      <c r="A43" s="12" t="str">
        <f>Labels!C181</f>
        <v>Total</v>
      </c>
      <c r="B43" s="141">
        <f>MIN(1,MIN(B44:B45))</f>
        <v>0</v>
      </c>
      <c r="C43" s="217">
        <f>MIN(1,MIN(L44:L45))</f>
        <v>1</v>
      </c>
      <c r="D43" s="141">
        <f>MIN(1,MIN(D44:D45))</f>
        <v>0.5</v>
      </c>
      <c r="E43" s="141">
        <f>MIN(1,MIN(E44:E45))</f>
        <v>1</v>
      </c>
      <c r="F43" s="141">
        <f>MIN(1,MIN(F44:F45))</f>
        <v>1</v>
      </c>
      <c r="G43" s="141">
        <f>MIN(1,MIN(G44:G45))</f>
        <v>1</v>
      </c>
      <c r="H43" s="217">
        <f>MIN(1,MIN(L44:L45))</f>
        <v>1</v>
      </c>
      <c r="I43" s="141">
        <f>MIN(1,MIN(I44:I45))</f>
        <v>1</v>
      </c>
      <c r="J43" s="141">
        <f>MIN(1,MIN(J44:J45))</f>
        <v>1</v>
      </c>
      <c r="K43" s="141">
        <f>MIN(1,MIN(K44:K45))</f>
        <v>1</v>
      </c>
      <c r="L43" s="141">
        <f>MIN(1,MIN(L44:L45))</f>
        <v>1</v>
      </c>
      <c r="M43" s="217">
        <f>MIN(1,MIN(L44:L45))</f>
        <v>1</v>
      </c>
    </row>
    <row r="44" spans="1:13" ht="12.75" customHeight="1" x14ac:dyDescent="0.2">
      <c r="A44" s="114" t="str">
        <f>"   "&amp;Labels!B170</f>
        <v xml:space="preserve">   Invest 1</v>
      </c>
      <c r="B44" s="216">
        <f>AVERAGE(B36,B40)</f>
        <v>0</v>
      </c>
      <c r="C44" s="151">
        <f>AVERAGE(L36,L40)</f>
        <v>7.5</v>
      </c>
      <c r="D44" s="216">
        <f t="shared" ref="D44:G45" si="2">AVERAGE(D36,D40)</f>
        <v>0.5</v>
      </c>
      <c r="E44" s="216">
        <f t="shared" si="2"/>
        <v>1.5</v>
      </c>
      <c r="F44" s="216">
        <f t="shared" si="2"/>
        <v>2.5</v>
      </c>
      <c r="G44" s="216">
        <f t="shared" si="2"/>
        <v>3.5</v>
      </c>
      <c r="H44" s="151">
        <f>AVERAGE(L36,L40)</f>
        <v>7.5</v>
      </c>
      <c r="I44" s="216">
        <f t="shared" ref="I44:L45" si="3">AVERAGE(I36,I40)</f>
        <v>4.5</v>
      </c>
      <c r="J44" s="216">
        <f t="shared" si="3"/>
        <v>5.5</v>
      </c>
      <c r="K44" s="216">
        <f t="shared" si="3"/>
        <v>6.5</v>
      </c>
      <c r="L44" s="216">
        <f t="shared" si="3"/>
        <v>7.5</v>
      </c>
      <c r="M44" s="151">
        <f>AVERAGE(L36,L40)</f>
        <v>7.5</v>
      </c>
    </row>
    <row r="45" spans="1:13" ht="12.75" customHeight="1" x14ac:dyDescent="0.2">
      <c r="A45" s="114" t="str">
        <f>"   "&amp;Labels!B171</f>
        <v xml:space="preserve">   Invest 2</v>
      </c>
      <c r="B45" s="216">
        <f>AVERAGE(B37,B41)</f>
        <v>0</v>
      </c>
      <c r="C45" s="151">
        <f>AVERAGE(L37,L41)</f>
        <v>7.5</v>
      </c>
      <c r="D45" s="216">
        <f t="shared" si="2"/>
        <v>0.5</v>
      </c>
      <c r="E45" s="216">
        <f t="shared" si="2"/>
        <v>1.5</v>
      </c>
      <c r="F45" s="216">
        <f t="shared" si="2"/>
        <v>2.5</v>
      </c>
      <c r="G45" s="216">
        <f t="shared" si="2"/>
        <v>3.5</v>
      </c>
      <c r="H45" s="151">
        <f>AVERAGE(L37,L41)</f>
        <v>7.5</v>
      </c>
      <c r="I45" s="216">
        <f t="shared" si="3"/>
        <v>4.5</v>
      </c>
      <c r="J45" s="216">
        <f t="shared" si="3"/>
        <v>5.5</v>
      </c>
      <c r="K45" s="216">
        <f t="shared" si="3"/>
        <v>6.5</v>
      </c>
      <c r="L45" s="216">
        <f t="shared" si="3"/>
        <v>7.5</v>
      </c>
      <c r="M45" s="151">
        <f>AVERAGE(L37,L41)</f>
        <v>7.5</v>
      </c>
    </row>
    <row r="46" spans="1:13" ht="12.75" customHeight="1" x14ac:dyDescent="0.2">
      <c r="A46" s="121" t="str">
        <f>"   "&amp;Labels!C169</f>
        <v xml:space="preserve">   Total</v>
      </c>
      <c r="B46" s="143">
        <f>MIN(1,MIN(B44:B45))</f>
        <v>0</v>
      </c>
      <c r="C46" s="152">
        <f>MIN(1,MIN(L44:L45))</f>
        <v>1</v>
      </c>
      <c r="D46" s="143">
        <f>MIN(1,MIN(D44:D45))</f>
        <v>0.5</v>
      </c>
      <c r="E46" s="143">
        <f>MIN(1,MIN(E44:E45))</f>
        <v>1</v>
      </c>
      <c r="F46" s="143">
        <f>MIN(1,MIN(F44:F45))</f>
        <v>1</v>
      </c>
      <c r="G46" s="143">
        <f>MIN(1,MIN(G44:G45))</f>
        <v>1</v>
      </c>
      <c r="H46" s="152">
        <f>MIN(1,MIN(L44:L45))</f>
        <v>1</v>
      </c>
      <c r="I46" s="143">
        <f>MIN(1,MIN(I44:I45))</f>
        <v>1</v>
      </c>
      <c r="J46" s="143">
        <f>MIN(1,MIN(J44:J45))</f>
        <v>1</v>
      </c>
      <c r="K46" s="143">
        <f>MIN(1,MIN(K44:K45))</f>
        <v>1</v>
      </c>
      <c r="L46" s="143">
        <f>MIN(1,MIN(L44:L45))</f>
        <v>1</v>
      </c>
      <c r="M46" s="152">
        <f>MIN(1,MIN(L44:L45))</f>
        <v>1</v>
      </c>
    </row>
    <row r="47" spans="1:13" ht="12.75" customHeight="1" x14ac:dyDescent="0.2">
      <c r="A47" s="1" t="str">
        <f>Labels!B73</f>
        <v>Physical Life (periods)</v>
      </c>
    </row>
    <row r="48" spans="1:13" ht="12.75" customHeight="1" x14ac:dyDescent="0.2">
      <c r="B48" s="17" t="str">
        <f>Labels!B182</f>
        <v>Catamarans</v>
      </c>
      <c r="C48" s="18" t="str">
        <f>Labels!B183</f>
        <v>Canoes</v>
      </c>
      <c r="D48" s="62" t="str">
        <f>Labels!C181</f>
        <v>Total</v>
      </c>
    </row>
    <row r="49" spans="1:11" ht="12.75" customHeight="1" x14ac:dyDescent="0.2">
      <c r="A49" s="111" t="str">
        <f>Labels!B170</f>
        <v>Invest 1</v>
      </c>
      <c r="B49" s="135">
        <f>ROUND(Inputs!J17*4,0)</f>
        <v>32</v>
      </c>
      <c r="C49" s="135">
        <f>ROUND(Inputs!J19*4,0)</f>
        <v>32</v>
      </c>
      <c r="D49" s="150">
        <f>AVERAGE(B49:C49)</f>
        <v>32</v>
      </c>
    </row>
    <row r="50" spans="1:11" ht="12.75" customHeight="1" x14ac:dyDescent="0.2">
      <c r="A50" s="117" t="str">
        <f>Labels!B171</f>
        <v>Invest 2</v>
      </c>
      <c r="B50" s="139">
        <f>ROUND(Inputs!J18*4,0)</f>
        <v>32</v>
      </c>
      <c r="C50" s="139">
        <f>ROUND(Inputs!J20*4,0)</f>
        <v>32</v>
      </c>
      <c r="D50" s="151">
        <f>AVERAGE(B50:C50)</f>
        <v>32</v>
      </c>
    </row>
    <row r="51" spans="1:11" ht="12.75" customHeight="1" x14ac:dyDescent="0.2">
      <c r="A51" s="12" t="str">
        <f>Labels!C169</f>
        <v>Total</v>
      </c>
      <c r="B51" s="141">
        <f>AVERAGE(B49:B50)</f>
        <v>32</v>
      </c>
      <c r="C51" s="141">
        <f>AVERAGE(C49:C50)</f>
        <v>32</v>
      </c>
      <c r="D51" s="217">
        <f>AVERAGE(B51:C51)</f>
        <v>32</v>
      </c>
    </row>
    <row r="52" spans="1:11" ht="12.75" customHeight="1" x14ac:dyDescent="0.2">
      <c r="A52" s="1" t="str">
        <f>Labels!B105</f>
        <v>Sales Units Growth %</v>
      </c>
    </row>
    <row r="53" spans="1:11" ht="12.75" customHeight="1" x14ac:dyDescent="0.2">
      <c r="B53" s="17" t="str">
        <f>'(FnCalls 1)'!G8</f>
        <v>Q2 2011</v>
      </c>
      <c r="C53" s="18" t="str">
        <f>'(FnCalls 1)'!G9</f>
        <v>Q3 2011</v>
      </c>
      <c r="D53" s="18" t="str">
        <f>'(FnCalls 1)'!G10</f>
        <v>Q4 2011</v>
      </c>
      <c r="E53" s="62" t="str">
        <f>'(FnCalls 1)'!H7</f>
        <v>2011</v>
      </c>
      <c r="F53" s="18" t="str">
        <f>'(FnCalls 1)'!G11</f>
        <v>Q1 2012</v>
      </c>
      <c r="G53" s="18" t="str">
        <f>'(FnCalls 1)'!G12</f>
        <v>Q2 2012</v>
      </c>
      <c r="H53" s="18" t="str">
        <f>'(FnCalls 1)'!G13</f>
        <v>Q3 2012</v>
      </c>
      <c r="I53" s="18" t="str">
        <f>'(FnCalls 1)'!G14</f>
        <v>Q4 2012</v>
      </c>
      <c r="J53" s="62" t="str">
        <f>'(FnCalls 1)'!H11</f>
        <v>2012</v>
      </c>
    </row>
    <row r="54" spans="1:11" ht="12.75" customHeight="1" x14ac:dyDescent="0.2">
      <c r="A54" s="111" t="str">
        <f>Labels!B182</f>
        <v>Catamarans</v>
      </c>
      <c r="B54" s="146"/>
      <c r="C54" s="146"/>
      <c r="D54" s="146"/>
      <c r="E54" s="65"/>
      <c r="F54" s="146"/>
      <c r="G54" s="146"/>
      <c r="H54" s="146"/>
      <c r="I54" s="146"/>
      <c r="J54" s="65"/>
    </row>
    <row r="55" spans="1:11" ht="12.75" customHeight="1" x14ac:dyDescent="0.2">
      <c r="A55" s="114" t="str">
        <f>"   "&amp;Labels!B174</f>
        <v xml:space="preserve">   Product 1</v>
      </c>
      <c r="B55" s="148">
        <f t="shared" ref="B55:D56" si="4">(1+B25)^(1/4)-1</f>
        <v>0</v>
      </c>
      <c r="C55" s="148">
        <f t="shared" si="4"/>
        <v>0</v>
      </c>
      <c r="D55" s="148">
        <f t="shared" si="4"/>
        <v>0</v>
      </c>
      <c r="E55" s="68">
        <f>(1+AVERAGE(B25:D25))^(1/1)-1</f>
        <v>0</v>
      </c>
      <c r="F55" s="148">
        <f t="shared" ref="F55:I56" si="5">(1+F25)^(1/4)-1</f>
        <v>0</v>
      </c>
      <c r="G55" s="148">
        <f t="shared" si="5"/>
        <v>0</v>
      </c>
      <c r="H55" s="148">
        <f t="shared" si="5"/>
        <v>0</v>
      </c>
      <c r="I55" s="148">
        <f t="shared" si="5"/>
        <v>0</v>
      </c>
      <c r="J55" s="68">
        <f>(1+AVERAGE(F25:I25))^(1/1)-1</f>
        <v>0</v>
      </c>
    </row>
    <row r="56" spans="1:11" ht="12.75" customHeight="1" x14ac:dyDescent="0.2">
      <c r="A56" s="117" t="str">
        <f>"   "&amp;Labels!C173</f>
        <v xml:space="preserve">   Total</v>
      </c>
      <c r="B56" s="149">
        <f t="shared" si="4"/>
        <v>0</v>
      </c>
      <c r="C56" s="149">
        <f t="shared" si="4"/>
        <v>0</v>
      </c>
      <c r="D56" s="149">
        <f t="shared" si="4"/>
        <v>0</v>
      </c>
      <c r="E56" s="68">
        <f>(1+AVERAGE(B26:D26))^(1/1)-1</f>
        <v>0</v>
      </c>
      <c r="F56" s="149">
        <f t="shared" si="5"/>
        <v>0</v>
      </c>
      <c r="G56" s="149">
        <f t="shared" si="5"/>
        <v>0</v>
      </c>
      <c r="H56" s="149">
        <f t="shared" si="5"/>
        <v>0</v>
      </c>
      <c r="I56" s="149">
        <f t="shared" si="5"/>
        <v>0</v>
      </c>
      <c r="J56" s="68">
        <f>(1+AVERAGE(F26:I26))^(1/1)-1</f>
        <v>0</v>
      </c>
    </row>
    <row r="57" spans="1:11" ht="12.75" customHeight="1" x14ac:dyDescent="0.2">
      <c r="A57" s="117" t="str">
        <f>Labels!B183</f>
        <v>Canoes</v>
      </c>
      <c r="B57" s="149"/>
      <c r="C57" s="149"/>
      <c r="D57" s="149"/>
      <c r="E57" s="68"/>
      <c r="F57" s="149"/>
      <c r="G57" s="149"/>
      <c r="H57" s="149"/>
      <c r="I57" s="149"/>
      <c r="J57" s="68"/>
    </row>
    <row r="58" spans="1:11" ht="12.75" customHeight="1" x14ac:dyDescent="0.2">
      <c r="A58" s="114" t="str">
        <f>"   "&amp;Labels!B174</f>
        <v xml:space="preserve">   Product 1</v>
      </c>
      <c r="B58" s="148">
        <f t="shared" ref="B58:D61" si="6">(1+B28)^(1/4)-1</f>
        <v>0</v>
      </c>
      <c r="C58" s="148">
        <f t="shared" si="6"/>
        <v>0</v>
      </c>
      <c r="D58" s="148">
        <f t="shared" si="6"/>
        <v>0</v>
      </c>
      <c r="E58" s="68">
        <f>(1+AVERAGE(B28:D28))^(1/1)-1</f>
        <v>0</v>
      </c>
      <c r="F58" s="148">
        <f t="shared" ref="F58:I61" si="7">(1+F28)^(1/4)-1</f>
        <v>0</v>
      </c>
      <c r="G58" s="148">
        <f t="shared" si="7"/>
        <v>0</v>
      </c>
      <c r="H58" s="148">
        <f t="shared" si="7"/>
        <v>0</v>
      </c>
      <c r="I58" s="148">
        <f t="shared" si="7"/>
        <v>0</v>
      </c>
      <c r="J58" s="68">
        <f>(1+AVERAGE(F28:I28))^(1/1)-1</f>
        <v>0</v>
      </c>
    </row>
    <row r="59" spans="1:11" ht="12.75" customHeight="1" x14ac:dyDescent="0.2">
      <c r="A59" s="117" t="str">
        <f>"   "&amp;Labels!C173</f>
        <v xml:space="preserve">   Total</v>
      </c>
      <c r="B59" s="149">
        <f t="shared" si="6"/>
        <v>0</v>
      </c>
      <c r="C59" s="149">
        <f t="shared" si="6"/>
        <v>0</v>
      </c>
      <c r="D59" s="149">
        <f t="shared" si="6"/>
        <v>0</v>
      </c>
      <c r="E59" s="68">
        <f>(1+AVERAGE(B29:D29))^(1/1)-1</f>
        <v>0</v>
      </c>
      <c r="F59" s="149">
        <f t="shared" si="7"/>
        <v>0</v>
      </c>
      <c r="G59" s="149">
        <f t="shared" si="7"/>
        <v>0</v>
      </c>
      <c r="H59" s="149">
        <f t="shared" si="7"/>
        <v>0</v>
      </c>
      <c r="I59" s="149">
        <f t="shared" si="7"/>
        <v>0</v>
      </c>
      <c r="J59" s="68">
        <f>(1+AVERAGE(F29:I29))^(1/1)-1</f>
        <v>0</v>
      </c>
    </row>
    <row r="60" spans="1:11" ht="12.75" customHeight="1" x14ac:dyDescent="0.2">
      <c r="A60" s="12" t="str">
        <f>Labels!C181</f>
        <v>Total</v>
      </c>
      <c r="B60" s="168">
        <f t="shared" si="6"/>
        <v>0</v>
      </c>
      <c r="C60" s="168">
        <f t="shared" si="6"/>
        <v>0</v>
      </c>
      <c r="D60" s="168">
        <f t="shared" si="6"/>
        <v>0</v>
      </c>
      <c r="E60" s="83">
        <f>(1+AVERAGE(B30:D30))^(1/1)-1</f>
        <v>0</v>
      </c>
      <c r="F60" s="168">
        <f t="shared" si="7"/>
        <v>0</v>
      </c>
      <c r="G60" s="168">
        <f t="shared" si="7"/>
        <v>0</v>
      </c>
      <c r="H60" s="168">
        <f t="shared" si="7"/>
        <v>0</v>
      </c>
      <c r="I60" s="168">
        <f t="shared" si="7"/>
        <v>0</v>
      </c>
      <c r="J60" s="83">
        <f>(1+AVERAGE(F30:I30))^(1/1)-1</f>
        <v>0</v>
      </c>
    </row>
    <row r="61" spans="1:11" ht="12.75" customHeight="1" x14ac:dyDescent="0.2">
      <c r="A61" s="114" t="str">
        <f>"   "&amp;Labels!B174</f>
        <v xml:space="preserve">   Product 1</v>
      </c>
      <c r="B61" s="148">
        <f t="shared" si="6"/>
        <v>0</v>
      </c>
      <c r="C61" s="148">
        <f t="shared" si="6"/>
        <v>0</v>
      </c>
      <c r="D61" s="148">
        <f t="shared" si="6"/>
        <v>0</v>
      </c>
      <c r="E61" s="68">
        <f>(1+AVERAGE(B31:D31))^(1/1)-1</f>
        <v>0</v>
      </c>
      <c r="F61" s="148">
        <f t="shared" si="7"/>
        <v>0</v>
      </c>
      <c r="G61" s="148">
        <f t="shared" si="7"/>
        <v>0</v>
      </c>
      <c r="H61" s="148">
        <f t="shared" si="7"/>
        <v>0</v>
      </c>
      <c r="I61" s="148">
        <f t="shared" si="7"/>
        <v>0</v>
      </c>
      <c r="J61" s="68">
        <f>(1+AVERAGE(F31:I31))^(1/1)-1</f>
        <v>0</v>
      </c>
    </row>
    <row r="62" spans="1:11" ht="12.75" customHeight="1" x14ac:dyDescent="0.2">
      <c r="A62" s="121" t="str">
        <f>"   "&amp;Labels!C173</f>
        <v xml:space="preserve">   Total</v>
      </c>
      <c r="B62" s="166">
        <f>(1+B30)^(1/4)-1</f>
        <v>0</v>
      </c>
      <c r="C62" s="166">
        <f>(1+C30)^(1/4)-1</f>
        <v>0</v>
      </c>
      <c r="D62" s="166">
        <f>(1+D30)^(1/4)-1</f>
        <v>0</v>
      </c>
      <c r="E62" s="87">
        <f>(1+AVERAGE(B30:D30))^(1/1)-1</f>
        <v>0</v>
      </c>
      <c r="F62" s="166">
        <f>(1+F30)^(1/4)-1</f>
        <v>0</v>
      </c>
      <c r="G62" s="166">
        <f>(1+G30)^(1/4)-1</f>
        <v>0</v>
      </c>
      <c r="H62" s="166">
        <f>(1+H30)^(1/4)-1</f>
        <v>0</v>
      </c>
      <c r="I62" s="166">
        <f>(1+I30)^(1/4)-1</f>
        <v>0</v>
      </c>
      <c r="J62" s="87">
        <f>(1+AVERAGE(F30:I30))^(1/1)-1</f>
        <v>0</v>
      </c>
    </row>
    <row r="63" spans="1:11" ht="12.75" customHeight="1" x14ac:dyDescent="0.2">
      <c r="A63" s="1" t="str">
        <f>Labels!B54</f>
        <v>Variable Operating Exp % Rev</v>
      </c>
    </row>
    <row r="64" spans="1:11" ht="12.75" customHeight="1" x14ac:dyDescent="0.2">
      <c r="B64" s="17" t="str">
        <f>'(FnCalls 1)'!G7</f>
        <v>Q1 2011</v>
      </c>
      <c r="C64" s="18" t="str">
        <f>'(FnCalls 1)'!G8</f>
        <v>Q2 2011</v>
      </c>
      <c r="D64" s="18" t="str">
        <f>'(FnCalls 1)'!G9</f>
        <v>Q3 2011</v>
      </c>
      <c r="E64" s="18" t="str">
        <f>'(FnCalls 1)'!G10</f>
        <v>Q4 2011</v>
      </c>
      <c r="F64" s="62" t="str">
        <f>'(FnCalls 1)'!H7</f>
        <v>2011</v>
      </c>
      <c r="G64" s="18" t="str">
        <f>'(FnCalls 1)'!G11</f>
        <v>Q1 2012</v>
      </c>
      <c r="H64" s="18" t="str">
        <f>'(FnCalls 1)'!G12</f>
        <v>Q2 2012</v>
      </c>
      <c r="I64" s="18" t="str">
        <f>'(FnCalls 1)'!G13</f>
        <v>Q3 2012</v>
      </c>
      <c r="J64" s="18" t="str">
        <f>'(FnCalls 1)'!G14</f>
        <v>Q4 2012</v>
      </c>
      <c r="K64" s="62" t="str">
        <f>'(FnCalls 1)'!H11</f>
        <v>2012</v>
      </c>
    </row>
    <row r="65" spans="1:11" ht="12.75" customHeight="1" x14ac:dyDescent="0.2">
      <c r="A65" s="111" t="str">
        <f>Labels!B182</f>
        <v>Catamarans</v>
      </c>
      <c r="B65" s="209"/>
      <c r="C65" s="209"/>
      <c r="D65" s="209"/>
      <c r="E65" s="209"/>
      <c r="F65" s="77"/>
      <c r="G65" s="209"/>
      <c r="H65" s="209"/>
      <c r="I65" s="209"/>
      <c r="J65" s="209"/>
      <c r="K65" s="77"/>
    </row>
    <row r="66" spans="1:11" ht="12.75" customHeight="1" x14ac:dyDescent="0.2">
      <c r="A66" s="114" t="str">
        <f>"   "&amp;Labels!B186</f>
        <v xml:space="preserve">   Fuel</v>
      </c>
      <c r="B66" s="218">
        <f>Inputs!E76</f>
        <v>0</v>
      </c>
      <c r="C66" s="218">
        <f>Inputs!F76</f>
        <v>0</v>
      </c>
      <c r="D66" s="218">
        <f>Inputs!G76</f>
        <v>0</v>
      </c>
      <c r="E66" s="218">
        <f>Inputs!H76</f>
        <v>0</v>
      </c>
      <c r="F66" s="79">
        <f>AVERAGE(B66:E66)</f>
        <v>0</v>
      </c>
      <c r="G66" s="218">
        <f>Inputs!J76</f>
        <v>0</v>
      </c>
      <c r="H66" s="218">
        <f>Inputs!K76</f>
        <v>0</v>
      </c>
      <c r="I66" s="218">
        <f>Inputs!L76</f>
        <v>0</v>
      </c>
      <c r="J66" s="218">
        <f>Inputs!M76</f>
        <v>0</v>
      </c>
      <c r="K66" s="79">
        <f>AVERAGE(G66:J66)</f>
        <v>0</v>
      </c>
    </row>
    <row r="67" spans="1:11" ht="12.75" customHeight="1" x14ac:dyDescent="0.2">
      <c r="A67" s="114" t="str">
        <f>"   "&amp;Labels!B187</f>
        <v xml:space="preserve">   Maintenance</v>
      </c>
      <c r="B67" s="218">
        <f>Inputs!E77</f>
        <v>0</v>
      </c>
      <c r="C67" s="218">
        <f>Inputs!F77</f>
        <v>0</v>
      </c>
      <c r="D67" s="218">
        <f>Inputs!G77</f>
        <v>0</v>
      </c>
      <c r="E67" s="218">
        <f>Inputs!H77</f>
        <v>0</v>
      </c>
      <c r="F67" s="79">
        <f>AVERAGE(B67:E67)</f>
        <v>0</v>
      </c>
      <c r="G67" s="218">
        <f>Inputs!J77</f>
        <v>0</v>
      </c>
      <c r="H67" s="218">
        <f>Inputs!K77</f>
        <v>0</v>
      </c>
      <c r="I67" s="218">
        <f>Inputs!L77</f>
        <v>0</v>
      </c>
      <c r="J67" s="218">
        <f>Inputs!M77</f>
        <v>0</v>
      </c>
      <c r="K67" s="79">
        <f>AVERAGE(G67:J67)</f>
        <v>0</v>
      </c>
    </row>
    <row r="68" spans="1:11" ht="12.75" customHeight="1" x14ac:dyDescent="0.2">
      <c r="A68" s="117" t="str">
        <f>"   "&amp;Labels!C185</f>
        <v xml:space="preserve">   Total</v>
      </c>
      <c r="B68" s="210">
        <f>AVERAGE(B66:B67)</f>
        <v>0</v>
      </c>
      <c r="C68" s="210">
        <f>AVERAGE(C66:C67)</f>
        <v>0</v>
      </c>
      <c r="D68" s="210">
        <f>AVERAGE(D66:D67)</f>
        <v>0</v>
      </c>
      <c r="E68" s="210">
        <f>AVERAGE(E66:E67)</f>
        <v>0</v>
      </c>
      <c r="F68" s="79">
        <f>AVERAGE(B68:E68)</f>
        <v>0</v>
      </c>
      <c r="G68" s="210">
        <f>AVERAGE(G66:G67)</f>
        <v>0</v>
      </c>
      <c r="H68" s="210">
        <f>AVERAGE(H66:H67)</f>
        <v>0</v>
      </c>
      <c r="I68" s="210">
        <f>AVERAGE(I66:I67)</f>
        <v>0</v>
      </c>
      <c r="J68" s="210">
        <f>AVERAGE(J66:J67)</f>
        <v>0</v>
      </c>
      <c r="K68" s="79">
        <f>AVERAGE(G68:J68)</f>
        <v>0</v>
      </c>
    </row>
    <row r="69" spans="1:11" ht="12.75" customHeight="1" x14ac:dyDescent="0.2">
      <c r="A69" s="117" t="str">
        <f>Labels!B183</f>
        <v>Canoes</v>
      </c>
      <c r="B69" s="210"/>
      <c r="C69" s="210"/>
      <c r="D69" s="210"/>
      <c r="E69" s="210"/>
      <c r="F69" s="79"/>
      <c r="G69" s="210"/>
      <c r="H69" s="210"/>
      <c r="I69" s="210"/>
      <c r="J69" s="210"/>
      <c r="K69" s="79"/>
    </row>
    <row r="70" spans="1:11" ht="12.75" customHeight="1" x14ac:dyDescent="0.2">
      <c r="A70" s="114" t="str">
        <f>"   "&amp;Labels!B186</f>
        <v xml:space="preserve">   Fuel</v>
      </c>
      <c r="B70" s="218">
        <f>Inputs!E78</f>
        <v>0</v>
      </c>
      <c r="C70" s="218">
        <f>Inputs!F78</f>
        <v>0</v>
      </c>
      <c r="D70" s="218">
        <f>Inputs!G78</f>
        <v>0</v>
      </c>
      <c r="E70" s="218">
        <f>Inputs!H78</f>
        <v>0</v>
      </c>
      <c r="F70" s="79">
        <f t="shared" ref="F70:F75" si="8">AVERAGE(B70:E70)</f>
        <v>0</v>
      </c>
      <c r="G70" s="218">
        <f>Inputs!J78</f>
        <v>0</v>
      </c>
      <c r="H70" s="218">
        <f>Inputs!K78</f>
        <v>0</v>
      </c>
      <c r="I70" s="218">
        <f>Inputs!L78</f>
        <v>0</v>
      </c>
      <c r="J70" s="218">
        <f>Inputs!M78</f>
        <v>0</v>
      </c>
      <c r="K70" s="79">
        <f t="shared" ref="K70:K75" si="9">AVERAGE(G70:J70)</f>
        <v>0</v>
      </c>
    </row>
    <row r="71" spans="1:11" ht="12.75" customHeight="1" x14ac:dyDescent="0.2">
      <c r="A71" s="114" t="str">
        <f>"   "&amp;Labels!B187</f>
        <v xml:space="preserve">   Maintenance</v>
      </c>
      <c r="B71" s="218">
        <f>Inputs!E79</f>
        <v>0</v>
      </c>
      <c r="C71" s="218">
        <f>Inputs!F79</f>
        <v>0</v>
      </c>
      <c r="D71" s="218">
        <f>Inputs!G79</f>
        <v>0</v>
      </c>
      <c r="E71" s="218">
        <f>Inputs!H79</f>
        <v>0</v>
      </c>
      <c r="F71" s="79">
        <f t="shared" si="8"/>
        <v>0</v>
      </c>
      <c r="G71" s="218">
        <f>Inputs!J79</f>
        <v>0</v>
      </c>
      <c r="H71" s="218">
        <f>Inputs!K79</f>
        <v>0</v>
      </c>
      <c r="I71" s="218">
        <f>Inputs!L79</f>
        <v>0</v>
      </c>
      <c r="J71" s="218">
        <f>Inputs!M79</f>
        <v>0</v>
      </c>
      <c r="K71" s="79">
        <f t="shared" si="9"/>
        <v>0</v>
      </c>
    </row>
    <row r="72" spans="1:11" ht="12.75" customHeight="1" x14ac:dyDescent="0.2">
      <c r="A72" s="117" t="str">
        <f>"   "&amp;Labels!C185</f>
        <v xml:space="preserve">   Total</v>
      </c>
      <c r="B72" s="210">
        <f>AVERAGE(B70:B71)</f>
        <v>0</v>
      </c>
      <c r="C72" s="210">
        <f>AVERAGE(C70:C71)</f>
        <v>0</v>
      </c>
      <c r="D72" s="210">
        <f>AVERAGE(D70:D71)</f>
        <v>0</v>
      </c>
      <c r="E72" s="210">
        <f>AVERAGE(E70:E71)</f>
        <v>0</v>
      </c>
      <c r="F72" s="79">
        <f t="shared" si="8"/>
        <v>0</v>
      </c>
      <c r="G72" s="210">
        <f>AVERAGE(G70:G71)</f>
        <v>0</v>
      </c>
      <c r="H72" s="210">
        <f>AVERAGE(H70:H71)</f>
        <v>0</v>
      </c>
      <c r="I72" s="210">
        <f>AVERAGE(I70:I71)</f>
        <v>0</v>
      </c>
      <c r="J72" s="210">
        <f>AVERAGE(J70:J71)</f>
        <v>0</v>
      </c>
      <c r="K72" s="79">
        <f t="shared" si="9"/>
        <v>0</v>
      </c>
    </row>
    <row r="73" spans="1:11" ht="12.75" customHeight="1" x14ac:dyDescent="0.2">
      <c r="A73" s="12" t="str">
        <f>Labels!C181</f>
        <v>Total</v>
      </c>
      <c r="B73" s="211">
        <f>AVERAGE(B68,B72)</f>
        <v>0</v>
      </c>
      <c r="C73" s="211">
        <f>AVERAGE(C68,C72)</f>
        <v>0</v>
      </c>
      <c r="D73" s="211">
        <f>AVERAGE(D68,D72)</f>
        <v>0</v>
      </c>
      <c r="E73" s="211">
        <f>AVERAGE(E68,E72)</f>
        <v>0</v>
      </c>
      <c r="F73" s="212">
        <f t="shared" si="8"/>
        <v>0</v>
      </c>
      <c r="G73" s="211">
        <f>AVERAGE(G68,G72)</f>
        <v>0</v>
      </c>
      <c r="H73" s="211">
        <f>AVERAGE(H68,H72)</f>
        <v>0</v>
      </c>
      <c r="I73" s="211">
        <f>AVERAGE(I68,I72)</f>
        <v>0</v>
      </c>
      <c r="J73" s="211">
        <f>AVERAGE(J68,J72)</f>
        <v>0</v>
      </c>
      <c r="K73" s="212">
        <f t="shared" si="9"/>
        <v>0</v>
      </c>
    </row>
    <row r="74" spans="1:11" ht="12.75" customHeight="1" x14ac:dyDescent="0.2">
      <c r="A74" s="114" t="str">
        <f>"   "&amp;Labels!B186</f>
        <v xml:space="preserve">   Fuel</v>
      </c>
      <c r="B74" s="218">
        <f t="shared" ref="B74:E76" si="10">AVERAGE(B66,B70)</f>
        <v>0</v>
      </c>
      <c r="C74" s="218">
        <f t="shared" si="10"/>
        <v>0</v>
      </c>
      <c r="D74" s="218">
        <f t="shared" si="10"/>
        <v>0</v>
      </c>
      <c r="E74" s="218">
        <f t="shared" si="10"/>
        <v>0</v>
      </c>
      <c r="F74" s="79">
        <f t="shared" si="8"/>
        <v>0</v>
      </c>
      <c r="G74" s="218">
        <f t="shared" ref="G74:J76" si="11">AVERAGE(G66,G70)</f>
        <v>0</v>
      </c>
      <c r="H74" s="218">
        <f t="shared" si="11"/>
        <v>0</v>
      </c>
      <c r="I74" s="218">
        <f t="shared" si="11"/>
        <v>0</v>
      </c>
      <c r="J74" s="218">
        <f t="shared" si="11"/>
        <v>0</v>
      </c>
      <c r="K74" s="79">
        <f t="shared" si="9"/>
        <v>0</v>
      </c>
    </row>
    <row r="75" spans="1:11" ht="12.75" customHeight="1" x14ac:dyDescent="0.2">
      <c r="A75" s="114" t="str">
        <f>"   "&amp;Labels!B187</f>
        <v xml:space="preserve">   Maintenance</v>
      </c>
      <c r="B75" s="218">
        <f t="shared" si="10"/>
        <v>0</v>
      </c>
      <c r="C75" s="218">
        <f t="shared" si="10"/>
        <v>0</v>
      </c>
      <c r="D75" s="218">
        <f t="shared" si="10"/>
        <v>0</v>
      </c>
      <c r="E75" s="218">
        <f t="shared" si="10"/>
        <v>0</v>
      </c>
      <c r="F75" s="79">
        <f t="shared" si="8"/>
        <v>0</v>
      </c>
      <c r="G75" s="218">
        <f t="shared" si="11"/>
        <v>0</v>
      </c>
      <c r="H75" s="218">
        <f t="shared" si="11"/>
        <v>0</v>
      </c>
      <c r="I75" s="218">
        <f t="shared" si="11"/>
        <v>0</v>
      </c>
      <c r="J75" s="218">
        <f t="shared" si="11"/>
        <v>0</v>
      </c>
      <c r="K75" s="79">
        <f t="shared" si="9"/>
        <v>0</v>
      </c>
    </row>
    <row r="76" spans="1:11" ht="12.75" customHeight="1" x14ac:dyDescent="0.2">
      <c r="A76" s="121" t="str">
        <f>"   "&amp;Labels!C185</f>
        <v xml:space="preserve">   Total</v>
      </c>
      <c r="B76" s="219">
        <f t="shared" si="10"/>
        <v>0</v>
      </c>
      <c r="C76" s="219">
        <f t="shared" si="10"/>
        <v>0</v>
      </c>
      <c r="D76" s="219">
        <f t="shared" si="10"/>
        <v>0</v>
      </c>
      <c r="E76" s="219">
        <f t="shared" si="10"/>
        <v>0</v>
      </c>
      <c r="F76" s="81">
        <f>AVERAGE(B73:E73)</f>
        <v>0</v>
      </c>
      <c r="G76" s="219">
        <f t="shared" si="11"/>
        <v>0</v>
      </c>
      <c r="H76" s="219">
        <f t="shared" si="11"/>
        <v>0</v>
      </c>
      <c r="I76" s="219">
        <f t="shared" si="11"/>
        <v>0</v>
      </c>
      <c r="J76" s="219">
        <f t="shared" si="11"/>
        <v>0</v>
      </c>
      <c r="K76" s="81">
        <f>AVERAGE(G73:J73)</f>
        <v>0</v>
      </c>
    </row>
    <row r="77" spans="1:11" ht="12.75" customHeight="1" x14ac:dyDescent="0.2">
      <c r="A77" s="1" t="str">
        <f>Labels!B52</f>
        <v>Initial Fixed Operating Expense</v>
      </c>
    </row>
    <row r="78" spans="1:11" ht="12.75" customHeight="1" x14ac:dyDescent="0.2">
      <c r="B78" s="17" t="str">
        <f>Labels!B182</f>
        <v>Catamarans</v>
      </c>
      <c r="C78" s="18" t="str">
        <f>Labels!B183</f>
        <v>Canoes</v>
      </c>
      <c r="D78" s="62" t="str">
        <f>Labels!C181</f>
        <v>Total</v>
      </c>
    </row>
    <row r="79" spans="1:11" ht="12.75" customHeight="1" x14ac:dyDescent="0.2">
      <c r="A79" s="111" t="str">
        <f>Labels!B162</f>
        <v>Computers</v>
      </c>
      <c r="B79" s="110">
        <f>Inputs!E82</f>
        <v>0</v>
      </c>
      <c r="C79" s="110">
        <f>Inputs!F82</f>
        <v>0</v>
      </c>
      <c r="D79" s="75">
        <f>SUM(B79:C79)</f>
        <v>0</v>
      </c>
    </row>
    <row r="80" spans="1:11" ht="12.75" customHeight="1" x14ac:dyDescent="0.2">
      <c r="A80" s="117" t="str">
        <f>Labels!B163</f>
        <v>Vehicles</v>
      </c>
      <c r="B80" s="120">
        <f>Inputs!E83</f>
        <v>0</v>
      </c>
      <c r="C80" s="120">
        <f>Inputs!F83</f>
        <v>0</v>
      </c>
      <c r="D80" s="69">
        <f>SUM(B80:C80)</f>
        <v>0</v>
      </c>
    </row>
    <row r="81" spans="1:10" ht="12.75" customHeight="1" x14ac:dyDescent="0.2">
      <c r="A81" s="12" t="str">
        <f>Labels!C161</f>
        <v>Total</v>
      </c>
      <c r="B81" s="107">
        <f>SUM(B79:B80)</f>
        <v>0</v>
      </c>
      <c r="C81" s="107">
        <f>SUM(C79:C80)</f>
        <v>0</v>
      </c>
      <c r="D81" s="108">
        <f>SUM(B81:C81)</f>
        <v>0</v>
      </c>
    </row>
    <row r="82" spans="1:10" ht="12.75" customHeight="1" x14ac:dyDescent="0.2">
      <c r="A82" s="1" t="str">
        <f>Labels!B51</f>
        <v>Fixed Operating Exp Annualized Growth</v>
      </c>
    </row>
    <row r="83" spans="1:10" ht="12.75" customHeight="1" x14ac:dyDescent="0.2">
      <c r="B83" s="17" t="str">
        <f>'(FnCalls 1)'!G8</f>
        <v>Q2 2011</v>
      </c>
      <c r="C83" s="18" t="str">
        <f>'(FnCalls 1)'!G9</f>
        <v>Q3 2011</v>
      </c>
      <c r="D83" s="18" t="str">
        <f>'(FnCalls 1)'!G10</f>
        <v>Q4 2011</v>
      </c>
      <c r="E83" s="62" t="str">
        <f>'(FnCalls 1)'!H7</f>
        <v>2011</v>
      </c>
      <c r="F83" s="18" t="str">
        <f>'(FnCalls 1)'!G11</f>
        <v>Q1 2012</v>
      </c>
      <c r="G83" s="18" t="str">
        <f>'(FnCalls 1)'!G12</f>
        <v>Q2 2012</v>
      </c>
      <c r="H83" s="18" t="str">
        <f>'(FnCalls 1)'!G13</f>
        <v>Q3 2012</v>
      </c>
      <c r="I83" s="18" t="str">
        <f>'(FnCalls 1)'!G14</f>
        <v>Q4 2012</v>
      </c>
      <c r="J83" s="62" t="str">
        <f>'(FnCalls 1)'!H11</f>
        <v>2012</v>
      </c>
    </row>
    <row r="84" spans="1:10" ht="12.75" customHeight="1" x14ac:dyDescent="0.2">
      <c r="A84" s="111" t="str">
        <f>Labels!B182</f>
        <v>Catamarans</v>
      </c>
      <c r="B84" s="209"/>
      <c r="C84" s="209"/>
      <c r="D84" s="209"/>
      <c r="E84" s="77"/>
      <c r="F84" s="209"/>
      <c r="G84" s="209"/>
      <c r="H84" s="209"/>
      <c r="I84" s="209"/>
      <c r="J84" s="77"/>
    </row>
    <row r="85" spans="1:10" ht="12.75" customHeight="1" x14ac:dyDescent="0.2">
      <c r="A85" s="114" t="str">
        <f>"   "&amp;Labels!B162</f>
        <v xml:space="preserve">   Computers</v>
      </c>
      <c r="B85" s="218">
        <f>Inputs!E86</f>
        <v>0</v>
      </c>
      <c r="C85" s="218">
        <f>Inputs!F86</f>
        <v>0</v>
      </c>
      <c r="D85" s="218">
        <f>Inputs!G86</f>
        <v>0</v>
      </c>
      <c r="E85" s="79" t="str">
        <f>IF(0=0," ",(SUM(Inputs!E101:H101)/0)^1-1)</f>
        <v xml:space="preserve"> </v>
      </c>
      <c r="F85" s="218">
        <f>Inputs!I86</f>
        <v>0</v>
      </c>
      <c r="G85" s="218">
        <f>Inputs!J86</f>
        <v>0</v>
      </c>
      <c r="H85" s="218">
        <f>Inputs!K86</f>
        <v>0</v>
      </c>
      <c r="I85" s="218">
        <f>Inputs!L86</f>
        <v>0</v>
      </c>
      <c r="J85" s="79" t="str">
        <f>IF(SUM(Inputs!E101:H101)=0," ",(SUM(Inputs!J101:M101)/SUM(Inputs!E101:H101))^1-1)</f>
        <v xml:space="preserve"> </v>
      </c>
    </row>
    <row r="86" spans="1:10" ht="12.75" customHeight="1" x14ac:dyDescent="0.2">
      <c r="A86" s="114" t="str">
        <f>"   "&amp;Labels!B163</f>
        <v xml:space="preserve">   Vehicles</v>
      </c>
      <c r="B86" s="218">
        <f>Inputs!E87</f>
        <v>0</v>
      </c>
      <c r="C86" s="218">
        <f>Inputs!F87</f>
        <v>0</v>
      </c>
      <c r="D86" s="218">
        <f>Inputs!G87</f>
        <v>0</v>
      </c>
      <c r="E86" s="79" t="str">
        <f>IF(0=0," ",(SUM(Inputs!E102:H102)/0)^1-1)</f>
        <v xml:space="preserve"> </v>
      </c>
      <c r="F86" s="218">
        <f>Inputs!I87</f>
        <v>0</v>
      </c>
      <c r="G86" s="218">
        <f>Inputs!J87</f>
        <v>0</v>
      </c>
      <c r="H86" s="218">
        <f>Inputs!K87</f>
        <v>0</v>
      </c>
      <c r="I86" s="218">
        <f>Inputs!L87</f>
        <v>0</v>
      </c>
      <c r="J86" s="79" t="str">
        <f>IF(SUM(Inputs!E102:H102)=0," ",(SUM(Inputs!J102:M102)/SUM(Inputs!E102:H102))^1-1)</f>
        <v xml:space="preserve"> </v>
      </c>
    </row>
    <row r="87" spans="1:10" ht="12.75" customHeight="1" x14ac:dyDescent="0.2">
      <c r="A87" s="117" t="str">
        <f>"   "&amp;Labels!C161</f>
        <v xml:space="preserve">   Total</v>
      </c>
      <c r="B87" s="210" t="str">
        <f>IF(Operations!B41=0," ",(Operations!C41/Operations!B41)^4-1)</f>
        <v xml:space="preserve"> </v>
      </c>
      <c r="C87" s="210" t="str">
        <f>IF(Operations!C41=0," ",(Operations!D41/Operations!C41)^4-1)</f>
        <v xml:space="preserve"> </v>
      </c>
      <c r="D87" s="210" t="str">
        <f>IF(Operations!D41=0," ",(Operations!E41/Operations!D41)^4-1)</f>
        <v xml:space="preserve"> </v>
      </c>
      <c r="E87" s="79" t="str">
        <f>IF(0=0," ",(SUM(Operations!B41:E41)/0)^1-1)</f>
        <v xml:space="preserve"> </v>
      </c>
      <c r="F87" s="210" t="str">
        <f>IF(Operations!E41=0," ",(Operations!G41/Operations!E41)^4-1)</f>
        <v xml:space="preserve"> </v>
      </c>
      <c r="G87" s="210" t="str">
        <f>IF(Operations!G41=0," ",(Operations!H41/Operations!G41)^4-1)</f>
        <v xml:space="preserve"> </v>
      </c>
      <c r="H87" s="210" t="str">
        <f>IF(Operations!H41=0," ",(Operations!I41/Operations!H41)^4-1)</f>
        <v xml:space="preserve"> </v>
      </c>
      <c r="I87" s="210" t="str">
        <f>IF(Operations!I41=0," ",(Operations!J41/Operations!I41)^4-1)</f>
        <v xml:space="preserve"> </v>
      </c>
      <c r="J87" s="79" t="str">
        <f>IF(SUM(Operations!B41:E41)=0," ",(SUM(Operations!G41:J41)/SUM(Operations!B41:E41))^1-1)</f>
        <v xml:space="preserve"> </v>
      </c>
    </row>
    <row r="88" spans="1:10" ht="12.75" customHeight="1" x14ac:dyDescent="0.2">
      <c r="A88" s="117" t="str">
        <f>Labels!B183</f>
        <v>Canoes</v>
      </c>
      <c r="B88" s="210"/>
      <c r="C88" s="210"/>
      <c r="D88" s="210"/>
      <c r="E88" s="79"/>
      <c r="F88" s="210"/>
      <c r="G88" s="210"/>
      <c r="H88" s="210"/>
      <c r="I88" s="210"/>
      <c r="J88" s="79"/>
    </row>
    <row r="89" spans="1:10" ht="12.75" customHeight="1" x14ac:dyDescent="0.2">
      <c r="A89" s="114" t="str">
        <f>"   "&amp;Labels!B162</f>
        <v xml:space="preserve">   Computers</v>
      </c>
      <c r="B89" s="218">
        <f>Inputs!E88</f>
        <v>0</v>
      </c>
      <c r="C89" s="218">
        <f>Inputs!F88</f>
        <v>0</v>
      </c>
      <c r="D89" s="218">
        <f>Inputs!G88</f>
        <v>0</v>
      </c>
      <c r="E89" s="79" t="str">
        <f>IF(0=0," ",(SUM(Inputs!E103:H103)/0)^1-1)</f>
        <v xml:space="preserve"> </v>
      </c>
      <c r="F89" s="218">
        <f>Inputs!I88</f>
        <v>0</v>
      </c>
      <c r="G89" s="218">
        <f>Inputs!J88</f>
        <v>0</v>
      </c>
      <c r="H89" s="218">
        <f>Inputs!K88</f>
        <v>0</v>
      </c>
      <c r="I89" s="218">
        <f>Inputs!L88</f>
        <v>0</v>
      </c>
      <c r="J89" s="79" t="str">
        <f>IF(SUM(Inputs!E103:H103)=0," ",(SUM(Inputs!J103:M103)/SUM(Inputs!E103:H103))^1-1)</f>
        <v xml:space="preserve"> </v>
      </c>
    </row>
    <row r="90" spans="1:10" ht="12.75" customHeight="1" x14ac:dyDescent="0.2">
      <c r="A90" s="114" t="str">
        <f>"   "&amp;Labels!B163</f>
        <v xml:space="preserve">   Vehicles</v>
      </c>
      <c r="B90" s="218">
        <f>Inputs!E89</f>
        <v>0</v>
      </c>
      <c r="C90" s="218">
        <f>Inputs!F89</f>
        <v>0</v>
      </c>
      <c r="D90" s="218">
        <f>Inputs!G89</f>
        <v>0</v>
      </c>
      <c r="E90" s="79" t="str">
        <f>IF(0=0," ",(SUM(Inputs!E104:H104)/0)^1-1)</f>
        <v xml:space="preserve"> </v>
      </c>
      <c r="F90" s="218">
        <f>Inputs!I89</f>
        <v>0</v>
      </c>
      <c r="G90" s="218">
        <f>Inputs!J89</f>
        <v>0</v>
      </c>
      <c r="H90" s="218">
        <f>Inputs!K89</f>
        <v>0</v>
      </c>
      <c r="I90" s="218">
        <f>Inputs!L89</f>
        <v>0</v>
      </c>
      <c r="J90" s="79" t="str">
        <f>IF(SUM(Inputs!E104:H104)=0," ",(SUM(Inputs!J104:M104)/SUM(Inputs!E104:H104))^1-1)</f>
        <v xml:space="preserve"> </v>
      </c>
    </row>
    <row r="91" spans="1:10" ht="12.75" customHeight="1" x14ac:dyDescent="0.2">
      <c r="A91" s="117" t="str">
        <f>"   "&amp;Labels!C161</f>
        <v xml:space="preserve">   Total</v>
      </c>
      <c r="B91" s="210" t="str">
        <f>IF(Operations!B42=0," ",(Operations!C42/Operations!B42)^4-1)</f>
        <v xml:space="preserve"> </v>
      </c>
      <c r="C91" s="210" t="str">
        <f>IF(Operations!C42=0," ",(Operations!D42/Operations!C42)^4-1)</f>
        <v xml:space="preserve"> </v>
      </c>
      <c r="D91" s="210" t="str">
        <f>IF(Operations!D42=0," ",(Operations!E42/Operations!D42)^4-1)</f>
        <v xml:space="preserve"> </v>
      </c>
      <c r="E91" s="79" t="str">
        <f>IF(0=0," ",(SUM(Operations!B42:E42)/0)^1-1)</f>
        <v xml:space="preserve"> </v>
      </c>
      <c r="F91" s="210" t="str">
        <f>IF(Operations!E42=0," ",(Operations!G42/Operations!E42)^4-1)</f>
        <v xml:space="preserve"> </v>
      </c>
      <c r="G91" s="210" t="str">
        <f>IF(Operations!G42=0," ",(Operations!H42/Operations!G42)^4-1)</f>
        <v xml:space="preserve"> </v>
      </c>
      <c r="H91" s="210" t="str">
        <f>IF(Operations!H42=0," ",(Operations!I42/Operations!H42)^4-1)</f>
        <v xml:space="preserve"> </v>
      </c>
      <c r="I91" s="210" t="str">
        <f>IF(Operations!I42=0," ",(Operations!J42/Operations!I42)^4-1)</f>
        <v xml:space="preserve"> </v>
      </c>
      <c r="J91" s="79" t="str">
        <f>IF(SUM(Operations!B42:E42)=0," ",(SUM(Operations!G42:J42)/SUM(Operations!B42:E42))^1-1)</f>
        <v xml:space="preserve"> </v>
      </c>
    </row>
    <row r="92" spans="1:10" ht="12.75" customHeight="1" x14ac:dyDescent="0.2">
      <c r="A92" s="12" t="str">
        <f>Labels!C181</f>
        <v>Total</v>
      </c>
      <c r="B92" s="211" t="str">
        <f>IF(Operations!B43=0," ",(Operations!C43/Operations!B43)^4-1)</f>
        <v xml:space="preserve"> </v>
      </c>
      <c r="C92" s="211" t="str">
        <f>IF(Operations!C43=0," ",(Operations!D43/Operations!C43)^4-1)</f>
        <v xml:space="preserve"> </v>
      </c>
      <c r="D92" s="211" t="str">
        <f>IF(Operations!D43=0," ",(Operations!E43/Operations!D43)^4-1)</f>
        <v xml:space="preserve"> </v>
      </c>
      <c r="E92" s="212" t="str">
        <f>IF(0=0," ",(SUM(Operations!B43:E43)/0)^1-1)</f>
        <v xml:space="preserve"> </v>
      </c>
      <c r="F92" s="211" t="str">
        <f>IF(Operations!E43=0," ",(Operations!G43/Operations!E43)^4-1)</f>
        <v xml:space="preserve"> </v>
      </c>
      <c r="G92" s="211" t="str">
        <f>IF(Operations!G43=0," ",(Operations!H43/Operations!G43)^4-1)</f>
        <v xml:space="preserve"> </v>
      </c>
      <c r="H92" s="211" t="str">
        <f>IF(Operations!H43=0," ",(Operations!I43/Operations!H43)^4-1)</f>
        <v xml:space="preserve"> </v>
      </c>
      <c r="I92" s="211" t="str">
        <f>IF(Operations!I43=0," ",(Operations!J43/Operations!I43)^4-1)</f>
        <v xml:space="preserve"> </v>
      </c>
      <c r="J92" s="212" t="str">
        <f>IF(SUM(Operations!B43:E43)=0," ",(SUM(Operations!G43:J43)/SUM(Operations!B43:E43))^1-1)</f>
        <v xml:space="preserve"> </v>
      </c>
    </row>
    <row r="93" spans="1:10" ht="12.75" customHeight="1" x14ac:dyDescent="0.2">
      <c r="A93" s="114" t="str">
        <f>"   "&amp;Labels!B162</f>
        <v xml:space="preserve">   Computers</v>
      </c>
      <c r="B93" s="218" t="str">
        <f>IF(Operations!B166=0," ",(Operations!C166/Operations!B166)^4-1)</f>
        <v xml:space="preserve"> </v>
      </c>
      <c r="C93" s="218" t="str">
        <f>IF(Operations!C166=0," ",(Operations!D166/Operations!C166)^4-1)</f>
        <v xml:space="preserve"> </v>
      </c>
      <c r="D93" s="218" t="str">
        <f>IF(Operations!D166=0," ",(Operations!E166/Operations!D166)^4-1)</f>
        <v xml:space="preserve"> </v>
      </c>
      <c r="E93" s="79" t="str">
        <f>IF(0=0," ",(SUM(Operations!B166:E166)/0)^1-1)</f>
        <v xml:space="preserve"> </v>
      </c>
      <c r="F93" s="218" t="str">
        <f>IF(Operations!E166=0," ",(Operations!G166/Operations!E166)^4-1)</f>
        <v xml:space="preserve"> </v>
      </c>
      <c r="G93" s="218" t="str">
        <f>IF(Operations!G166=0," ",(Operations!H166/Operations!G166)^4-1)</f>
        <v xml:space="preserve"> </v>
      </c>
      <c r="H93" s="218" t="str">
        <f>IF(Operations!H166=0," ",(Operations!I166/Operations!H166)^4-1)</f>
        <v xml:space="preserve"> </v>
      </c>
      <c r="I93" s="218" t="str">
        <f>IF(Operations!I166=0," ",(Operations!J166/Operations!I166)^4-1)</f>
        <v xml:space="preserve"> </v>
      </c>
      <c r="J93" s="79" t="str">
        <f>IF(SUM(Operations!B166:E166)=0," ",(SUM(Operations!G166:J166)/SUM(Operations!B166:E166))^1-1)</f>
        <v xml:space="preserve"> </v>
      </c>
    </row>
    <row r="94" spans="1:10" ht="12.75" customHeight="1" x14ac:dyDescent="0.2">
      <c r="A94" s="114" t="str">
        <f>"   "&amp;Labels!B163</f>
        <v xml:space="preserve">   Vehicles</v>
      </c>
      <c r="B94" s="218" t="str">
        <f>IF(Operations!B167=0," ",(Operations!C167/Operations!B167)^4-1)</f>
        <v xml:space="preserve"> </v>
      </c>
      <c r="C94" s="218" t="str">
        <f>IF(Operations!C167=0," ",(Operations!D167/Operations!C167)^4-1)</f>
        <v xml:space="preserve"> </v>
      </c>
      <c r="D94" s="218" t="str">
        <f>IF(Operations!D167=0," ",(Operations!E167/Operations!D167)^4-1)</f>
        <v xml:space="preserve"> </v>
      </c>
      <c r="E94" s="79" t="str">
        <f>IF(0=0," ",(SUM(Operations!B167:E167)/0)^1-1)</f>
        <v xml:space="preserve"> </v>
      </c>
      <c r="F94" s="218" t="str">
        <f>IF(Operations!E167=0," ",(Operations!G167/Operations!E167)^4-1)</f>
        <v xml:space="preserve"> </v>
      </c>
      <c r="G94" s="218" t="str">
        <f>IF(Operations!G167=0," ",(Operations!H167/Operations!G167)^4-1)</f>
        <v xml:space="preserve"> </v>
      </c>
      <c r="H94" s="218" t="str">
        <f>IF(Operations!H167=0," ",(Operations!I167/Operations!H167)^4-1)</f>
        <v xml:space="preserve"> </v>
      </c>
      <c r="I94" s="218" t="str">
        <f>IF(Operations!I167=0," ",(Operations!J167/Operations!I167)^4-1)</f>
        <v xml:space="preserve"> </v>
      </c>
      <c r="J94" s="79" t="str">
        <f>IF(SUM(Operations!B167:E167)=0," ",(SUM(Operations!G167:J167)/SUM(Operations!B167:E167))^1-1)</f>
        <v xml:space="preserve"> </v>
      </c>
    </row>
    <row r="95" spans="1:10" ht="12.75" customHeight="1" x14ac:dyDescent="0.2">
      <c r="A95" s="121" t="str">
        <f>"   "&amp;Labels!C161</f>
        <v xml:space="preserve">   Total</v>
      </c>
      <c r="B95" s="219" t="str">
        <f>IF(Operations!B43=0," ",(Operations!C43/Operations!B43)^4-1)</f>
        <v xml:space="preserve"> </v>
      </c>
      <c r="C95" s="219" t="str">
        <f>IF(Operations!C43=0," ",(Operations!D43/Operations!C43)^4-1)</f>
        <v xml:space="preserve"> </v>
      </c>
      <c r="D95" s="219" t="str">
        <f>IF(Operations!D43=0," ",(Operations!E43/Operations!D43)^4-1)</f>
        <v xml:space="preserve"> </v>
      </c>
      <c r="E95" s="81" t="str">
        <f>IF(0=0," ",(SUM(Operations!B43:E43)/0)^1-1)</f>
        <v xml:space="preserve"> </v>
      </c>
      <c r="F95" s="219" t="str">
        <f>IF(Operations!E43=0," ",(Operations!G43/Operations!E43)^4-1)</f>
        <v xml:space="preserve"> </v>
      </c>
      <c r="G95" s="219" t="str">
        <f>IF(Operations!G43=0," ",(Operations!H43/Operations!G43)^4-1)</f>
        <v xml:space="preserve"> </v>
      </c>
      <c r="H95" s="219" t="str">
        <f>IF(Operations!H43=0," ",(Operations!I43/Operations!H43)^4-1)</f>
        <v xml:space="preserve"> </v>
      </c>
      <c r="I95" s="219" t="str">
        <f>IF(Operations!I43=0," ",(Operations!J43/Operations!I43)^4-1)</f>
        <v xml:space="preserve"> </v>
      </c>
      <c r="J95" s="81" t="str">
        <f>IF(SUM(Operations!B43:E43)=0," ",(SUM(Operations!G43:J43)/SUM(Operations!B43:E43))^1-1)</f>
        <v xml:space="preserve"> </v>
      </c>
    </row>
    <row r="96" spans="1:10" ht="12.75" customHeight="1" x14ac:dyDescent="0.2">
      <c r="A96" s="1" t="str">
        <f>Labels!B50</f>
        <v>Fixed Operating Exp Growth %</v>
      </c>
    </row>
    <row r="97" spans="1:13" ht="12.75" customHeight="1" x14ac:dyDescent="0.2">
      <c r="B97" s="17" t="str">
        <f>'(FnCalls 1)'!G8</f>
        <v>Q2 2011</v>
      </c>
      <c r="C97" s="18" t="str">
        <f>'(FnCalls 1)'!G9</f>
        <v>Q3 2011</v>
      </c>
      <c r="D97" s="18" t="str">
        <f>'(FnCalls 1)'!G10</f>
        <v>Q4 2011</v>
      </c>
      <c r="E97" s="62" t="str">
        <f>'(FnCalls 1)'!H7</f>
        <v>2011</v>
      </c>
      <c r="F97" s="18" t="str">
        <f>'(FnCalls 1)'!G11</f>
        <v>Q1 2012</v>
      </c>
      <c r="G97" s="18" t="str">
        <f>'(FnCalls 1)'!G12</f>
        <v>Q2 2012</v>
      </c>
      <c r="H97" s="18" t="str">
        <f>'(FnCalls 1)'!G13</f>
        <v>Q3 2012</v>
      </c>
      <c r="I97" s="18" t="str">
        <f>'(FnCalls 1)'!G14</f>
        <v>Q4 2012</v>
      </c>
      <c r="J97" s="62" t="str">
        <f>'(FnCalls 1)'!H11</f>
        <v>2012</v>
      </c>
    </row>
    <row r="98" spans="1:13" ht="12.75" customHeight="1" x14ac:dyDescent="0.2">
      <c r="A98" s="111" t="str">
        <f>Labels!B182</f>
        <v>Catamarans</v>
      </c>
      <c r="B98" s="209"/>
      <c r="C98" s="209"/>
      <c r="D98" s="209"/>
      <c r="E98" s="77"/>
      <c r="F98" s="209"/>
      <c r="G98" s="209"/>
      <c r="H98" s="209"/>
      <c r="I98" s="209"/>
      <c r="J98" s="77"/>
    </row>
    <row r="99" spans="1:13" ht="12.75" customHeight="1" x14ac:dyDescent="0.2">
      <c r="A99" s="114" t="str">
        <f>"   "&amp;Labels!B162</f>
        <v xml:space="preserve">   Computers</v>
      </c>
      <c r="B99" s="218">
        <f t="shared" ref="B99:D100" si="12">(1+B85)^(1/4)-1</f>
        <v>0</v>
      </c>
      <c r="C99" s="218">
        <f t="shared" si="12"/>
        <v>0</v>
      </c>
      <c r="D99" s="218">
        <f t="shared" si="12"/>
        <v>0</v>
      </c>
      <c r="E99" s="79">
        <f>(1+B99)^1*(1+C99)^1*(1+D99)^1-1</f>
        <v>0</v>
      </c>
      <c r="F99" s="218">
        <f t="shared" ref="F99:I100" si="13">(1+F85)^(1/4)-1</f>
        <v>0</v>
      </c>
      <c r="G99" s="218">
        <f t="shared" si="13"/>
        <v>0</v>
      </c>
      <c r="H99" s="218">
        <f t="shared" si="13"/>
        <v>0</v>
      </c>
      <c r="I99" s="218">
        <f t="shared" si="13"/>
        <v>0</v>
      </c>
      <c r="J99" s="79">
        <f>(1+F99)^1*(1+G99)^1*(1+H99)^1*(1+I99)^1-1</f>
        <v>0</v>
      </c>
    </row>
    <row r="100" spans="1:13" ht="12.75" customHeight="1" x14ac:dyDescent="0.2">
      <c r="A100" s="114" t="str">
        <f>"   "&amp;Labels!B163</f>
        <v xml:space="preserve">   Vehicles</v>
      </c>
      <c r="B100" s="218">
        <f t="shared" si="12"/>
        <v>0</v>
      </c>
      <c r="C100" s="218">
        <f t="shared" si="12"/>
        <v>0</v>
      </c>
      <c r="D100" s="218">
        <f t="shared" si="12"/>
        <v>0</v>
      </c>
      <c r="E100" s="79">
        <f>(1+B100)^1*(1+C100)^1*(1+D100)^1-1</f>
        <v>0</v>
      </c>
      <c r="F100" s="218">
        <f t="shared" si="13"/>
        <v>0</v>
      </c>
      <c r="G100" s="218">
        <f t="shared" si="13"/>
        <v>0</v>
      </c>
      <c r="H100" s="218">
        <f t="shared" si="13"/>
        <v>0</v>
      </c>
      <c r="I100" s="218">
        <f t="shared" si="13"/>
        <v>0</v>
      </c>
      <c r="J100" s="79">
        <f>(1+F100)^1*(1+G100)^1*(1+H100)^1*(1+I100)^1-1</f>
        <v>0</v>
      </c>
    </row>
    <row r="101" spans="1:13" ht="12.75" customHeight="1" x14ac:dyDescent="0.2">
      <c r="A101" s="117" t="str">
        <f>"   "&amp;Labels!C161</f>
        <v xml:space="preserve">   Total</v>
      </c>
      <c r="B101" s="210">
        <f>AVERAGE(B99:B100)</f>
        <v>0</v>
      </c>
      <c r="C101" s="210">
        <f>AVERAGE(C99:C100)</f>
        <v>0</v>
      </c>
      <c r="D101" s="210">
        <f>AVERAGE(D99:D100)</f>
        <v>0</v>
      </c>
      <c r="E101" s="79">
        <f>(1+B101)^1*(1+C101)^1*(1+D101)^1-1</f>
        <v>0</v>
      </c>
      <c r="F101" s="210">
        <f>AVERAGE(F99:F100)</f>
        <v>0</v>
      </c>
      <c r="G101" s="210">
        <f>AVERAGE(G99:G100)</f>
        <v>0</v>
      </c>
      <c r="H101" s="210">
        <f>AVERAGE(H99:H100)</f>
        <v>0</v>
      </c>
      <c r="I101" s="210">
        <f>AVERAGE(I99:I100)</f>
        <v>0</v>
      </c>
      <c r="J101" s="79">
        <f>(1+F101)^1*(1+G101)^1*(1+H101)^1*(1+I101)^1-1</f>
        <v>0</v>
      </c>
    </row>
    <row r="102" spans="1:13" ht="12.75" customHeight="1" x14ac:dyDescent="0.2">
      <c r="A102" s="117" t="str">
        <f>Labels!B183</f>
        <v>Canoes</v>
      </c>
      <c r="B102" s="210"/>
      <c r="C102" s="210"/>
      <c r="D102" s="210"/>
      <c r="E102" s="79"/>
      <c r="F102" s="210"/>
      <c r="G102" s="210"/>
      <c r="H102" s="210"/>
      <c r="I102" s="210"/>
      <c r="J102" s="79"/>
    </row>
    <row r="103" spans="1:13" ht="12.75" customHeight="1" x14ac:dyDescent="0.2">
      <c r="A103" s="114" t="str">
        <f>"   "&amp;Labels!B162</f>
        <v xml:space="preserve">   Computers</v>
      </c>
      <c r="B103" s="218">
        <f t="shared" ref="B103:D104" si="14">(1+B89)^(1/4)-1</f>
        <v>0</v>
      </c>
      <c r="C103" s="218">
        <f t="shared" si="14"/>
        <v>0</v>
      </c>
      <c r="D103" s="218">
        <f t="shared" si="14"/>
        <v>0</v>
      </c>
      <c r="E103" s="79">
        <f t="shared" ref="E103:E108" si="15">(1+B103)^1*(1+C103)^1*(1+D103)^1-1</f>
        <v>0</v>
      </c>
      <c r="F103" s="218">
        <f t="shared" ref="F103:I104" si="16">(1+F89)^(1/4)-1</f>
        <v>0</v>
      </c>
      <c r="G103" s="218">
        <f t="shared" si="16"/>
        <v>0</v>
      </c>
      <c r="H103" s="218">
        <f t="shared" si="16"/>
        <v>0</v>
      </c>
      <c r="I103" s="218">
        <f t="shared" si="16"/>
        <v>0</v>
      </c>
      <c r="J103" s="79">
        <f t="shared" ref="J103:J108" si="17">(1+F103)^1*(1+G103)^1*(1+H103)^1*(1+I103)^1-1</f>
        <v>0</v>
      </c>
    </row>
    <row r="104" spans="1:13" ht="12.75" customHeight="1" x14ac:dyDescent="0.2">
      <c r="A104" s="114" t="str">
        <f>"   "&amp;Labels!B163</f>
        <v xml:space="preserve">   Vehicles</v>
      </c>
      <c r="B104" s="218">
        <f t="shared" si="14"/>
        <v>0</v>
      </c>
      <c r="C104" s="218">
        <f t="shared" si="14"/>
        <v>0</v>
      </c>
      <c r="D104" s="218">
        <f t="shared" si="14"/>
        <v>0</v>
      </c>
      <c r="E104" s="79">
        <f t="shared" si="15"/>
        <v>0</v>
      </c>
      <c r="F104" s="218">
        <f t="shared" si="16"/>
        <v>0</v>
      </c>
      <c r="G104" s="218">
        <f t="shared" si="16"/>
        <v>0</v>
      </c>
      <c r="H104" s="218">
        <f t="shared" si="16"/>
        <v>0</v>
      </c>
      <c r="I104" s="218">
        <f t="shared" si="16"/>
        <v>0</v>
      </c>
      <c r="J104" s="79">
        <f t="shared" si="17"/>
        <v>0</v>
      </c>
    </row>
    <row r="105" spans="1:13" ht="12.75" customHeight="1" x14ac:dyDescent="0.2">
      <c r="A105" s="117" t="str">
        <f>"   "&amp;Labels!C161</f>
        <v xml:space="preserve">   Total</v>
      </c>
      <c r="B105" s="210">
        <f>AVERAGE(B103:B104)</f>
        <v>0</v>
      </c>
      <c r="C105" s="210">
        <f>AVERAGE(C103:C104)</f>
        <v>0</v>
      </c>
      <c r="D105" s="210">
        <f>AVERAGE(D103:D104)</f>
        <v>0</v>
      </c>
      <c r="E105" s="79">
        <f t="shared" si="15"/>
        <v>0</v>
      </c>
      <c r="F105" s="210">
        <f>AVERAGE(F103:F104)</f>
        <v>0</v>
      </c>
      <c r="G105" s="210">
        <f>AVERAGE(G103:G104)</f>
        <v>0</v>
      </c>
      <c r="H105" s="210">
        <f>AVERAGE(H103:H104)</f>
        <v>0</v>
      </c>
      <c r="I105" s="210">
        <f>AVERAGE(I103:I104)</f>
        <v>0</v>
      </c>
      <c r="J105" s="79">
        <f t="shared" si="17"/>
        <v>0</v>
      </c>
    </row>
    <row r="106" spans="1:13" ht="12.75" customHeight="1" x14ac:dyDescent="0.2">
      <c r="A106" s="12" t="str">
        <f>Labels!C181</f>
        <v>Total</v>
      </c>
      <c r="B106" s="211">
        <f>AVERAGE(B101,B105)</f>
        <v>0</v>
      </c>
      <c r="C106" s="211">
        <f>AVERAGE(C101,C105)</f>
        <v>0</v>
      </c>
      <c r="D106" s="211">
        <f>AVERAGE(D101,D105)</f>
        <v>0</v>
      </c>
      <c r="E106" s="212">
        <f t="shared" si="15"/>
        <v>0</v>
      </c>
      <c r="F106" s="211">
        <f>AVERAGE(F101,F105)</f>
        <v>0</v>
      </c>
      <c r="G106" s="211">
        <f>AVERAGE(G101,G105)</f>
        <v>0</v>
      </c>
      <c r="H106" s="211">
        <f>AVERAGE(H101,H105)</f>
        <v>0</v>
      </c>
      <c r="I106" s="211">
        <f>AVERAGE(I101,I105)</f>
        <v>0</v>
      </c>
      <c r="J106" s="212">
        <f t="shared" si="17"/>
        <v>0</v>
      </c>
    </row>
    <row r="107" spans="1:13" ht="12.75" customHeight="1" x14ac:dyDescent="0.2">
      <c r="A107" s="114" t="str">
        <f>"   "&amp;Labels!B162</f>
        <v xml:space="preserve">   Computers</v>
      </c>
      <c r="B107" s="218">
        <f t="shared" ref="B107:D109" si="18">AVERAGE(B99,B103)</f>
        <v>0</v>
      </c>
      <c r="C107" s="218">
        <f t="shared" si="18"/>
        <v>0</v>
      </c>
      <c r="D107" s="218">
        <f t="shared" si="18"/>
        <v>0</v>
      </c>
      <c r="E107" s="79">
        <f t="shared" si="15"/>
        <v>0</v>
      </c>
      <c r="F107" s="218">
        <f t="shared" ref="F107:I109" si="19">AVERAGE(F99,F103)</f>
        <v>0</v>
      </c>
      <c r="G107" s="218">
        <f t="shared" si="19"/>
        <v>0</v>
      </c>
      <c r="H107" s="218">
        <f t="shared" si="19"/>
        <v>0</v>
      </c>
      <c r="I107" s="218">
        <f t="shared" si="19"/>
        <v>0</v>
      </c>
      <c r="J107" s="79">
        <f t="shared" si="17"/>
        <v>0</v>
      </c>
    </row>
    <row r="108" spans="1:13" ht="12.75" customHeight="1" x14ac:dyDescent="0.2">
      <c r="A108" s="114" t="str">
        <f>"   "&amp;Labels!B163</f>
        <v xml:space="preserve">   Vehicles</v>
      </c>
      <c r="B108" s="218">
        <f t="shared" si="18"/>
        <v>0</v>
      </c>
      <c r="C108" s="218">
        <f t="shared" si="18"/>
        <v>0</v>
      </c>
      <c r="D108" s="218">
        <f t="shared" si="18"/>
        <v>0</v>
      </c>
      <c r="E108" s="79">
        <f t="shared" si="15"/>
        <v>0</v>
      </c>
      <c r="F108" s="218">
        <f t="shared" si="19"/>
        <v>0</v>
      </c>
      <c r="G108" s="218">
        <f t="shared" si="19"/>
        <v>0</v>
      </c>
      <c r="H108" s="218">
        <f t="shared" si="19"/>
        <v>0</v>
      </c>
      <c r="I108" s="218">
        <f t="shared" si="19"/>
        <v>0</v>
      </c>
      <c r="J108" s="79">
        <f t="shared" si="17"/>
        <v>0</v>
      </c>
    </row>
    <row r="109" spans="1:13" ht="12.75" customHeight="1" x14ac:dyDescent="0.2">
      <c r="A109" s="121" t="str">
        <f>"   "&amp;Labels!C161</f>
        <v xml:space="preserve">   Total</v>
      </c>
      <c r="B109" s="219">
        <f t="shared" si="18"/>
        <v>0</v>
      </c>
      <c r="C109" s="219">
        <f t="shared" si="18"/>
        <v>0</v>
      </c>
      <c r="D109" s="219">
        <f t="shared" si="18"/>
        <v>0</v>
      </c>
      <c r="E109" s="81">
        <f>(1+B106)^1*(1+C106)^1*(1+D106)^1-1</f>
        <v>0</v>
      </c>
      <c r="F109" s="219">
        <f t="shared" si="19"/>
        <v>0</v>
      </c>
      <c r="G109" s="219">
        <f t="shared" si="19"/>
        <v>0</v>
      </c>
      <c r="H109" s="219">
        <f t="shared" si="19"/>
        <v>0</v>
      </c>
      <c r="I109" s="219">
        <f t="shared" si="19"/>
        <v>0</v>
      </c>
      <c r="J109" s="81">
        <f>(1+F106)^1*(1+G106)^1*(1+H106)^1*(1+I106)^1-1</f>
        <v>0</v>
      </c>
    </row>
    <row r="110" spans="1:13" ht="12.75" customHeight="1" x14ac:dyDescent="0.2">
      <c r="A110" s="1" t="str">
        <f>Labels!B44</f>
        <v>Discount Rate Default (Yr)</v>
      </c>
    </row>
    <row r="111" spans="1:13" ht="12.75" customHeight="1" x14ac:dyDescent="0.2">
      <c r="B111" s="17" t="str">
        <f>'(FnCalls 1)'!G6</f>
        <v>Q4 2010</v>
      </c>
      <c r="C111" s="62" t="str">
        <f>'(FnCalls 1)'!H4</f>
        <v>2010</v>
      </c>
      <c r="D111" s="18" t="str">
        <f>'(FnCalls 1)'!G7</f>
        <v>Q1 2011</v>
      </c>
      <c r="E111" s="18" t="str">
        <f>'(FnCalls 1)'!G8</f>
        <v>Q2 2011</v>
      </c>
      <c r="F111" s="18" t="str">
        <f>'(FnCalls 1)'!G9</f>
        <v>Q3 2011</v>
      </c>
      <c r="G111" s="18" t="str">
        <f>'(FnCalls 1)'!G10</f>
        <v>Q4 2011</v>
      </c>
      <c r="H111" s="62" t="str">
        <f>'(FnCalls 1)'!H7</f>
        <v>2011</v>
      </c>
      <c r="I111" s="18" t="str">
        <f>'(FnCalls 1)'!G11</f>
        <v>Q1 2012</v>
      </c>
      <c r="J111" s="18" t="str">
        <f>'(FnCalls 1)'!G12</f>
        <v>Q2 2012</v>
      </c>
      <c r="K111" s="18" t="str">
        <f>'(FnCalls 1)'!G13</f>
        <v>Q3 2012</v>
      </c>
      <c r="L111" s="18" t="str">
        <f>'(FnCalls 1)'!G14</f>
        <v>Q4 2012</v>
      </c>
      <c r="M111" s="62" t="str">
        <f>'(FnCalls 1)'!H11</f>
        <v>2012</v>
      </c>
    </row>
    <row r="112" spans="1:13" ht="12.75" customHeight="1" x14ac:dyDescent="0.2">
      <c r="A112" s="111" t="str">
        <f>Labels!B182</f>
        <v>Catamarans</v>
      </c>
      <c r="B112" s="146">
        <f>Inputs!E121</f>
        <v>0.15</v>
      </c>
      <c r="C112" s="65">
        <f>Inputs!E121</f>
        <v>0.15</v>
      </c>
      <c r="D112" s="146">
        <f>Inputs!G121</f>
        <v>0.15</v>
      </c>
      <c r="E112" s="146">
        <f>Inputs!H121</f>
        <v>0.15</v>
      </c>
      <c r="F112" s="146">
        <f>Inputs!I121</f>
        <v>0.15</v>
      </c>
      <c r="G112" s="146">
        <f>Inputs!J121</f>
        <v>0.15</v>
      </c>
      <c r="H112" s="65">
        <f>AVERAGE(D112:G112)</f>
        <v>0.15</v>
      </c>
      <c r="I112" s="146">
        <f>Inputs!L121</f>
        <v>0.15</v>
      </c>
      <c r="J112" s="146">
        <f>Inputs!M121</f>
        <v>0.15</v>
      </c>
      <c r="K112" s="146">
        <f>Inputs!N121</f>
        <v>0.15</v>
      </c>
      <c r="L112" s="146">
        <f>Inputs!O121</f>
        <v>0.15</v>
      </c>
      <c r="M112" s="65">
        <f>AVERAGE(I112:L112)</f>
        <v>0.15</v>
      </c>
    </row>
    <row r="113" spans="1:13" ht="12.75" customHeight="1" x14ac:dyDescent="0.2">
      <c r="A113" s="117" t="str">
        <f>Labels!B183</f>
        <v>Canoes</v>
      </c>
      <c r="B113" s="149">
        <f>Inputs!E122</f>
        <v>0.15</v>
      </c>
      <c r="C113" s="68">
        <f>Inputs!E122</f>
        <v>0.15</v>
      </c>
      <c r="D113" s="149">
        <f>Inputs!G122</f>
        <v>0.15</v>
      </c>
      <c r="E113" s="149">
        <f>Inputs!H122</f>
        <v>0.15</v>
      </c>
      <c r="F113" s="149">
        <f>Inputs!I122</f>
        <v>0.15</v>
      </c>
      <c r="G113" s="149">
        <f>Inputs!J122</f>
        <v>0.15</v>
      </c>
      <c r="H113" s="68">
        <f>AVERAGE(D113:G113)</f>
        <v>0.15</v>
      </c>
      <c r="I113" s="149">
        <f>Inputs!L122</f>
        <v>0.15</v>
      </c>
      <c r="J113" s="149">
        <f>Inputs!M122</f>
        <v>0.15</v>
      </c>
      <c r="K113" s="149">
        <f>Inputs!N122</f>
        <v>0.15</v>
      </c>
      <c r="L113" s="149">
        <f>Inputs!O122</f>
        <v>0.15</v>
      </c>
      <c r="M113" s="68">
        <f>AVERAGE(I113:L113)</f>
        <v>0.15</v>
      </c>
    </row>
    <row r="114" spans="1:13" ht="12.75" customHeight="1" x14ac:dyDescent="0.2">
      <c r="A114" s="12" t="str">
        <f>Labels!C181</f>
        <v>Total</v>
      </c>
      <c r="B114" s="168">
        <f>AVERAGE(B112:B113)</f>
        <v>0.15</v>
      </c>
      <c r="C114" s="83">
        <f>AVERAGE(B112:B113)</f>
        <v>0.15</v>
      </c>
      <c r="D114" s="168">
        <f>AVERAGE(D112:D113)</f>
        <v>0.15</v>
      </c>
      <c r="E114" s="168">
        <f>AVERAGE(E112:E113)</f>
        <v>0.15</v>
      </c>
      <c r="F114" s="168">
        <f>AVERAGE(F112:F113)</f>
        <v>0.15</v>
      </c>
      <c r="G114" s="168">
        <f>AVERAGE(G112:G113)</f>
        <v>0.15</v>
      </c>
      <c r="H114" s="83">
        <f>AVERAGE(D114:G114)</f>
        <v>0.15</v>
      </c>
      <c r="I114" s="168">
        <f>AVERAGE(I112:I113)</f>
        <v>0.15</v>
      </c>
      <c r="J114" s="168">
        <f>AVERAGE(J112:J113)</f>
        <v>0.15</v>
      </c>
      <c r="K114" s="168">
        <f>AVERAGE(K112:K113)</f>
        <v>0.15</v>
      </c>
      <c r="L114" s="168">
        <f>AVERAGE(L112:L113)</f>
        <v>0.15</v>
      </c>
      <c r="M114" s="83">
        <f>AVERAGE(I114:L114)</f>
        <v>0.15</v>
      </c>
    </row>
    <row r="115" spans="1:13" ht="12.75" customHeight="1" x14ac:dyDescent="0.2">
      <c r="A115" s="1" t="str">
        <f>Labels!B30</f>
        <v>Debt Balloon Payment</v>
      </c>
    </row>
    <row r="116" spans="1:13" ht="12.75" customHeight="1" x14ac:dyDescent="0.2">
      <c r="B116" s="17" t="str">
        <f>Labels!B182</f>
        <v>Catamarans</v>
      </c>
      <c r="C116" s="18" t="str">
        <f>Labels!B183</f>
        <v>Canoes</v>
      </c>
      <c r="D116" s="62" t="str">
        <f>Labels!C181</f>
        <v>Total</v>
      </c>
    </row>
    <row r="117" spans="1:13" ht="12.75" customHeight="1" x14ac:dyDescent="0.2">
      <c r="A117" s="111" t="str">
        <f>Labels!B170</f>
        <v>Invest 1</v>
      </c>
      <c r="B117" s="110">
        <f>Inputs!E167</f>
        <v>0</v>
      </c>
      <c r="C117" s="110">
        <f>Inputs!F167</f>
        <v>0</v>
      </c>
      <c r="D117" s="75">
        <f>SUM(B117:C117)</f>
        <v>0</v>
      </c>
    </row>
    <row r="118" spans="1:13" ht="12.75" customHeight="1" x14ac:dyDescent="0.2">
      <c r="A118" s="117" t="str">
        <f>Labels!B171</f>
        <v>Invest 2</v>
      </c>
      <c r="B118" s="120">
        <f>Inputs!E168</f>
        <v>0</v>
      </c>
      <c r="C118" s="120">
        <f>Inputs!F168</f>
        <v>0</v>
      </c>
      <c r="D118" s="69">
        <f>SUM(B118:C118)</f>
        <v>0</v>
      </c>
    </row>
    <row r="119" spans="1:13" ht="12.75" customHeight="1" x14ac:dyDescent="0.2">
      <c r="A119" s="12" t="str">
        <f>Labels!C169</f>
        <v>Total</v>
      </c>
      <c r="B119" s="107">
        <f>SUM(B117:B118)</f>
        <v>0</v>
      </c>
      <c r="C119" s="107">
        <f>SUM(C117:C118)</f>
        <v>0</v>
      </c>
      <c r="D119" s="108">
        <f>SUM(B119:C119)</f>
        <v>0</v>
      </c>
    </row>
    <row r="120" spans="1:13" ht="12.75" customHeight="1" x14ac:dyDescent="0.2">
      <c r="A120" s="1" t="str">
        <f>Labels!B89</f>
        <v>Leasing Rate (Yr)</v>
      </c>
    </row>
    <row r="121" spans="1:13" ht="12.75" customHeight="1" x14ac:dyDescent="0.2">
      <c r="B121" s="17" t="str">
        <f>'(FnCalls 1)'!G6</f>
        <v>Q4 2010</v>
      </c>
      <c r="C121" s="62" t="str">
        <f>'(FnCalls 1)'!H4</f>
        <v>2010</v>
      </c>
      <c r="D121" s="18" t="str">
        <f>'(FnCalls 1)'!G7</f>
        <v>Q1 2011</v>
      </c>
      <c r="E121" s="18" t="str">
        <f>'(FnCalls 1)'!G8</f>
        <v>Q2 2011</v>
      </c>
      <c r="F121" s="18" t="str">
        <f>'(FnCalls 1)'!G9</f>
        <v>Q3 2011</v>
      </c>
      <c r="G121" s="18" t="str">
        <f>'(FnCalls 1)'!G10</f>
        <v>Q4 2011</v>
      </c>
      <c r="H121" s="62" t="str">
        <f>'(FnCalls 1)'!H7</f>
        <v>2011</v>
      </c>
      <c r="I121" s="18" t="str">
        <f>'(FnCalls 1)'!G11</f>
        <v>Q1 2012</v>
      </c>
      <c r="J121" s="18" t="str">
        <f>'(FnCalls 1)'!G12</f>
        <v>Q2 2012</v>
      </c>
      <c r="K121" s="18" t="str">
        <f>'(FnCalls 1)'!G13</f>
        <v>Q3 2012</v>
      </c>
      <c r="L121" s="18" t="str">
        <f>'(FnCalls 1)'!G14</f>
        <v>Q4 2012</v>
      </c>
      <c r="M121" s="62" t="str">
        <f>'(FnCalls 1)'!H11</f>
        <v>2012</v>
      </c>
    </row>
    <row r="122" spans="1:13" ht="12.75" customHeight="1" x14ac:dyDescent="0.2">
      <c r="A122" s="111" t="str">
        <f>Labels!B182</f>
        <v>Catamarans</v>
      </c>
      <c r="B122" s="146"/>
      <c r="C122" s="65"/>
      <c r="D122" s="146"/>
      <c r="E122" s="146"/>
      <c r="F122" s="146"/>
      <c r="G122" s="146"/>
      <c r="H122" s="65"/>
      <c r="I122" s="146"/>
      <c r="J122" s="146"/>
      <c r="K122" s="146"/>
      <c r="L122" s="146"/>
      <c r="M122" s="65"/>
    </row>
    <row r="123" spans="1:13" ht="12.75" customHeight="1" x14ac:dyDescent="0.2">
      <c r="A123" s="114" t="str">
        <f>"   "&amp;Labels!B170</f>
        <v xml:space="preserve">   Invest 1</v>
      </c>
      <c r="B123" s="148">
        <f>Inputs!E176</f>
        <v>0</v>
      </c>
      <c r="C123" s="68">
        <f>Inputs!E176</f>
        <v>0</v>
      </c>
      <c r="D123" s="148">
        <f>Inputs!G176</f>
        <v>0</v>
      </c>
      <c r="E123" s="148">
        <f>Inputs!H176</f>
        <v>0</v>
      </c>
      <c r="F123" s="148">
        <f>Inputs!I176</f>
        <v>0</v>
      </c>
      <c r="G123" s="148">
        <f>Inputs!J176</f>
        <v>0</v>
      </c>
      <c r="H123" s="68">
        <f>AVERAGE(D123:G123)</f>
        <v>0</v>
      </c>
      <c r="I123" s="148">
        <f>Inputs!L176</f>
        <v>0</v>
      </c>
      <c r="J123" s="148">
        <f>Inputs!M176</f>
        <v>0</v>
      </c>
      <c r="K123" s="148">
        <f>Inputs!N176</f>
        <v>0</v>
      </c>
      <c r="L123" s="148">
        <f>Inputs!O176</f>
        <v>0</v>
      </c>
      <c r="M123" s="68">
        <f>AVERAGE(I123:L123)</f>
        <v>0</v>
      </c>
    </row>
    <row r="124" spans="1:13" ht="12.75" customHeight="1" x14ac:dyDescent="0.2">
      <c r="A124" s="114" t="str">
        <f>"   "&amp;Labels!B171</f>
        <v xml:space="preserve">   Invest 2</v>
      </c>
      <c r="B124" s="148">
        <f>Inputs!E177</f>
        <v>0</v>
      </c>
      <c r="C124" s="68">
        <f>Inputs!E177</f>
        <v>0</v>
      </c>
      <c r="D124" s="148">
        <f>Inputs!G177</f>
        <v>0</v>
      </c>
      <c r="E124" s="148">
        <f>Inputs!H177</f>
        <v>0</v>
      </c>
      <c r="F124" s="148">
        <f>Inputs!I177</f>
        <v>0</v>
      </c>
      <c r="G124" s="148">
        <f>Inputs!J177</f>
        <v>0</v>
      </c>
      <c r="H124" s="68">
        <f>AVERAGE(D124:G124)</f>
        <v>0</v>
      </c>
      <c r="I124" s="148">
        <f>Inputs!L177</f>
        <v>0</v>
      </c>
      <c r="J124" s="148">
        <f>Inputs!M177</f>
        <v>0</v>
      </c>
      <c r="K124" s="148">
        <f>Inputs!N177</f>
        <v>0</v>
      </c>
      <c r="L124" s="148">
        <f>Inputs!O177</f>
        <v>0</v>
      </c>
      <c r="M124" s="68">
        <f>AVERAGE(I124:L124)</f>
        <v>0</v>
      </c>
    </row>
    <row r="125" spans="1:13" ht="12.75" customHeight="1" x14ac:dyDescent="0.2">
      <c r="A125" s="117" t="str">
        <f>"   "&amp;Labels!C169</f>
        <v xml:space="preserve">   Total</v>
      </c>
      <c r="B125" s="149">
        <f>AVERAGE(B123:B124)</f>
        <v>0</v>
      </c>
      <c r="C125" s="68">
        <f>AVERAGE(B123:B124)</f>
        <v>0</v>
      </c>
      <c r="D125" s="149">
        <f>AVERAGE(D123:D124)</f>
        <v>0</v>
      </c>
      <c r="E125" s="149">
        <f>AVERAGE(E123:E124)</f>
        <v>0</v>
      </c>
      <c r="F125" s="149">
        <f>AVERAGE(F123:F124)</f>
        <v>0</v>
      </c>
      <c r="G125" s="149">
        <f>AVERAGE(G123:G124)</f>
        <v>0</v>
      </c>
      <c r="H125" s="68">
        <f>AVERAGE(D125:G125)</f>
        <v>0</v>
      </c>
      <c r="I125" s="149">
        <f>AVERAGE(I123:I124)</f>
        <v>0</v>
      </c>
      <c r="J125" s="149">
        <f>AVERAGE(J123:J124)</f>
        <v>0</v>
      </c>
      <c r="K125" s="149">
        <f>AVERAGE(K123:K124)</f>
        <v>0</v>
      </c>
      <c r="L125" s="149">
        <f>AVERAGE(L123:L124)</f>
        <v>0</v>
      </c>
      <c r="M125" s="68">
        <f>AVERAGE(I125:L125)</f>
        <v>0</v>
      </c>
    </row>
    <row r="126" spans="1:13" ht="12.75" customHeight="1" x14ac:dyDescent="0.2">
      <c r="A126" s="117" t="str">
        <f>Labels!B183</f>
        <v>Canoes</v>
      </c>
      <c r="B126" s="149"/>
      <c r="C126" s="68"/>
      <c r="D126" s="149"/>
      <c r="E126" s="149"/>
      <c r="F126" s="149"/>
      <c r="G126" s="149"/>
      <c r="H126" s="68"/>
      <c r="I126" s="149"/>
      <c r="J126" s="149"/>
      <c r="K126" s="149"/>
      <c r="L126" s="149"/>
      <c r="M126" s="68"/>
    </row>
    <row r="127" spans="1:13" ht="12.75" customHeight="1" x14ac:dyDescent="0.2">
      <c r="A127" s="114" t="str">
        <f>"   "&amp;Labels!B170</f>
        <v xml:space="preserve">   Invest 1</v>
      </c>
      <c r="B127" s="148">
        <f>Inputs!E178</f>
        <v>0</v>
      </c>
      <c r="C127" s="68">
        <f>Inputs!E178</f>
        <v>0</v>
      </c>
      <c r="D127" s="148">
        <f>Inputs!G178</f>
        <v>0</v>
      </c>
      <c r="E127" s="148">
        <f>Inputs!H178</f>
        <v>0</v>
      </c>
      <c r="F127" s="148">
        <f>Inputs!I178</f>
        <v>0</v>
      </c>
      <c r="G127" s="148">
        <f>Inputs!J178</f>
        <v>0</v>
      </c>
      <c r="H127" s="68">
        <f t="shared" ref="H127:H132" si="20">AVERAGE(D127:G127)</f>
        <v>0</v>
      </c>
      <c r="I127" s="148">
        <f>Inputs!L178</f>
        <v>0</v>
      </c>
      <c r="J127" s="148">
        <f>Inputs!M178</f>
        <v>0</v>
      </c>
      <c r="K127" s="148">
        <f>Inputs!N178</f>
        <v>0</v>
      </c>
      <c r="L127" s="148">
        <f>Inputs!O178</f>
        <v>0</v>
      </c>
      <c r="M127" s="68">
        <f t="shared" ref="M127:M132" si="21">AVERAGE(I127:L127)</f>
        <v>0</v>
      </c>
    </row>
    <row r="128" spans="1:13" ht="12.75" customHeight="1" x14ac:dyDescent="0.2">
      <c r="A128" s="114" t="str">
        <f>"   "&amp;Labels!B171</f>
        <v xml:space="preserve">   Invest 2</v>
      </c>
      <c r="B128" s="148">
        <f>Inputs!E179</f>
        <v>0</v>
      </c>
      <c r="C128" s="68">
        <f>Inputs!E179</f>
        <v>0</v>
      </c>
      <c r="D128" s="148">
        <f>Inputs!G179</f>
        <v>0</v>
      </c>
      <c r="E128" s="148">
        <f>Inputs!H179</f>
        <v>0</v>
      </c>
      <c r="F128" s="148">
        <f>Inputs!I179</f>
        <v>0</v>
      </c>
      <c r="G128" s="148">
        <f>Inputs!J179</f>
        <v>0</v>
      </c>
      <c r="H128" s="68">
        <f t="shared" si="20"/>
        <v>0</v>
      </c>
      <c r="I128" s="148">
        <f>Inputs!L179</f>
        <v>0</v>
      </c>
      <c r="J128" s="148">
        <f>Inputs!M179</f>
        <v>0</v>
      </c>
      <c r="K128" s="148">
        <f>Inputs!N179</f>
        <v>0</v>
      </c>
      <c r="L128" s="148">
        <f>Inputs!O179</f>
        <v>0</v>
      </c>
      <c r="M128" s="68">
        <f t="shared" si="21"/>
        <v>0</v>
      </c>
    </row>
    <row r="129" spans="1:13" ht="12.75" customHeight="1" x14ac:dyDescent="0.2">
      <c r="A129" s="117" t="str">
        <f>"   "&amp;Labels!C169</f>
        <v xml:space="preserve">   Total</v>
      </c>
      <c r="B129" s="149">
        <f>AVERAGE(B127:B128)</f>
        <v>0</v>
      </c>
      <c r="C129" s="68">
        <f>AVERAGE(B127:B128)</f>
        <v>0</v>
      </c>
      <c r="D129" s="149">
        <f>AVERAGE(D127:D128)</f>
        <v>0</v>
      </c>
      <c r="E129" s="149">
        <f>AVERAGE(E127:E128)</f>
        <v>0</v>
      </c>
      <c r="F129" s="149">
        <f>AVERAGE(F127:F128)</f>
        <v>0</v>
      </c>
      <c r="G129" s="149">
        <f>AVERAGE(G127:G128)</f>
        <v>0</v>
      </c>
      <c r="H129" s="68">
        <f t="shared" si="20"/>
        <v>0</v>
      </c>
      <c r="I129" s="149">
        <f>AVERAGE(I127:I128)</f>
        <v>0</v>
      </c>
      <c r="J129" s="149">
        <f>AVERAGE(J127:J128)</f>
        <v>0</v>
      </c>
      <c r="K129" s="149">
        <f>AVERAGE(K127:K128)</f>
        <v>0</v>
      </c>
      <c r="L129" s="149">
        <f>AVERAGE(L127:L128)</f>
        <v>0</v>
      </c>
      <c r="M129" s="68">
        <f t="shared" si="21"/>
        <v>0</v>
      </c>
    </row>
    <row r="130" spans="1:13" ht="12.75" customHeight="1" x14ac:dyDescent="0.2">
      <c r="A130" s="12" t="str">
        <f>Labels!C181</f>
        <v>Total</v>
      </c>
      <c r="B130" s="168">
        <f>AVERAGE(B125,B129)</f>
        <v>0</v>
      </c>
      <c r="C130" s="83">
        <f>AVERAGE(B125,B129)</f>
        <v>0</v>
      </c>
      <c r="D130" s="168">
        <f>AVERAGE(D125,D129)</f>
        <v>0</v>
      </c>
      <c r="E130" s="168">
        <f>AVERAGE(E125,E129)</f>
        <v>0</v>
      </c>
      <c r="F130" s="168">
        <f>AVERAGE(F125,F129)</f>
        <v>0</v>
      </c>
      <c r="G130" s="168">
        <f>AVERAGE(G125,G129)</f>
        <v>0</v>
      </c>
      <c r="H130" s="83">
        <f t="shared" si="20"/>
        <v>0</v>
      </c>
      <c r="I130" s="168">
        <f>AVERAGE(I125,I129)</f>
        <v>0</v>
      </c>
      <c r="J130" s="168">
        <f>AVERAGE(J125,J129)</f>
        <v>0</v>
      </c>
      <c r="K130" s="168">
        <f>AVERAGE(K125,K129)</f>
        <v>0</v>
      </c>
      <c r="L130" s="168">
        <f>AVERAGE(L125,L129)</f>
        <v>0</v>
      </c>
      <c r="M130" s="83">
        <f t="shared" si="21"/>
        <v>0</v>
      </c>
    </row>
    <row r="131" spans="1:13" ht="12.75" customHeight="1" x14ac:dyDescent="0.2">
      <c r="A131" s="114" t="str">
        <f>"   "&amp;Labels!B170</f>
        <v xml:space="preserve">   Invest 1</v>
      </c>
      <c r="B131" s="148">
        <f>AVERAGE(B123,B127)</f>
        <v>0</v>
      </c>
      <c r="C131" s="68">
        <f>AVERAGE(B123,B127)</f>
        <v>0</v>
      </c>
      <c r="D131" s="148">
        <f t="shared" ref="D131:G133" si="22">AVERAGE(D123,D127)</f>
        <v>0</v>
      </c>
      <c r="E131" s="148">
        <f t="shared" si="22"/>
        <v>0</v>
      </c>
      <c r="F131" s="148">
        <f t="shared" si="22"/>
        <v>0</v>
      </c>
      <c r="G131" s="148">
        <f t="shared" si="22"/>
        <v>0</v>
      </c>
      <c r="H131" s="68">
        <f t="shared" si="20"/>
        <v>0</v>
      </c>
      <c r="I131" s="148">
        <f t="shared" ref="I131:L133" si="23">AVERAGE(I123,I127)</f>
        <v>0</v>
      </c>
      <c r="J131" s="148">
        <f t="shared" si="23"/>
        <v>0</v>
      </c>
      <c r="K131" s="148">
        <f t="shared" si="23"/>
        <v>0</v>
      </c>
      <c r="L131" s="148">
        <f t="shared" si="23"/>
        <v>0</v>
      </c>
      <c r="M131" s="68">
        <f t="shared" si="21"/>
        <v>0</v>
      </c>
    </row>
    <row r="132" spans="1:13" ht="12.75" customHeight="1" x14ac:dyDescent="0.2">
      <c r="A132" s="114" t="str">
        <f>"   "&amp;Labels!B171</f>
        <v xml:space="preserve">   Invest 2</v>
      </c>
      <c r="B132" s="148">
        <f>AVERAGE(B124,B128)</f>
        <v>0</v>
      </c>
      <c r="C132" s="68">
        <f>AVERAGE(B124,B128)</f>
        <v>0</v>
      </c>
      <c r="D132" s="148">
        <f t="shared" si="22"/>
        <v>0</v>
      </c>
      <c r="E132" s="148">
        <f t="shared" si="22"/>
        <v>0</v>
      </c>
      <c r="F132" s="148">
        <f t="shared" si="22"/>
        <v>0</v>
      </c>
      <c r="G132" s="148">
        <f t="shared" si="22"/>
        <v>0</v>
      </c>
      <c r="H132" s="68">
        <f t="shared" si="20"/>
        <v>0</v>
      </c>
      <c r="I132" s="148">
        <f t="shared" si="23"/>
        <v>0</v>
      </c>
      <c r="J132" s="148">
        <f t="shared" si="23"/>
        <v>0</v>
      </c>
      <c r="K132" s="148">
        <f t="shared" si="23"/>
        <v>0</v>
      </c>
      <c r="L132" s="148">
        <f t="shared" si="23"/>
        <v>0</v>
      </c>
      <c r="M132" s="68">
        <f t="shared" si="21"/>
        <v>0</v>
      </c>
    </row>
    <row r="133" spans="1:13" ht="12.75" customHeight="1" x14ac:dyDescent="0.2">
      <c r="A133" s="121" t="str">
        <f>"   "&amp;Labels!C169</f>
        <v xml:space="preserve">   Total</v>
      </c>
      <c r="B133" s="166">
        <f>AVERAGE(B125,B129)</f>
        <v>0</v>
      </c>
      <c r="C133" s="87">
        <f>AVERAGE(B125,B129)</f>
        <v>0</v>
      </c>
      <c r="D133" s="166">
        <f t="shared" si="22"/>
        <v>0</v>
      </c>
      <c r="E133" s="166">
        <f t="shared" si="22"/>
        <v>0</v>
      </c>
      <c r="F133" s="166">
        <f t="shared" si="22"/>
        <v>0</v>
      </c>
      <c r="G133" s="166">
        <f t="shared" si="22"/>
        <v>0</v>
      </c>
      <c r="H133" s="87">
        <f>AVERAGE(D130:G130)</f>
        <v>0</v>
      </c>
      <c r="I133" s="166">
        <f t="shared" si="23"/>
        <v>0</v>
      </c>
      <c r="J133" s="166">
        <f t="shared" si="23"/>
        <v>0</v>
      </c>
      <c r="K133" s="166">
        <f t="shared" si="23"/>
        <v>0</v>
      </c>
      <c r="L133" s="166">
        <f t="shared" si="23"/>
        <v>0</v>
      </c>
      <c r="M133" s="87">
        <f>AVERAGE(I130:L130)</f>
        <v>0</v>
      </c>
    </row>
    <row r="134" spans="1:13" ht="12.75" customHeight="1" x14ac:dyDescent="0.2">
      <c r="A134" s="1" t="str">
        <f>Labels!B86</f>
        <v>Lease Balloon Payment</v>
      </c>
    </row>
    <row r="135" spans="1:13" ht="12.75" customHeight="1" x14ac:dyDescent="0.2">
      <c r="B135" s="17" t="str">
        <f>Labels!B182</f>
        <v>Catamarans</v>
      </c>
      <c r="C135" s="18" t="str">
        <f>Labels!B183</f>
        <v>Canoes</v>
      </c>
      <c r="D135" s="62" t="str">
        <f>Labels!C181</f>
        <v>Total</v>
      </c>
    </row>
    <row r="136" spans="1:13" ht="12.75" customHeight="1" x14ac:dyDescent="0.2">
      <c r="A136" s="111" t="str">
        <f>Labels!B170</f>
        <v>Invest 1</v>
      </c>
      <c r="B136" s="110">
        <f>Inputs!E182</f>
        <v>0</v>
      </c>
      <c r="C136" s="110">
        <f>Inputs!F182</f>
        <v>0</v>
      </c>
      <c r="D136" s="75">
        <f>SUM(B136:C136)</f>
        <v>0</v>
      </c>
    </row>
    <row r="137" spans="1:13" ht="12.75" customHeight="1" x14ac:dyDescent="0.2">
      <c r="A137" s="117" t="str">
        <f>Labels!B171</f>
        <v>Invest 2</v>
      </c>
      <c r="B137" s="120">
        <f>Inputs!E183</f>
        <v>0</v>
      </c>
      <c r="C137" s="120">
        <f>Inputs!F183</f>
        <v>0</v>
      </c>
      <c r="D137" s="69">
        <f>SUM(B137:C137)</f>
        <v>0</v>
      </c>
    </row>
    <row r="138" spans="1:13" ht="12.75" customHeight="1" x14ac:dyDescent="0.2">
      <c r="A138" s="12" t="str">
        <f>Labels!C169</f>
        <v>Total</v>
      </c>
      <c r="B138" s="107">
        <f>SUM(B136:B137)</f>
        <v>0</v>
      </c>
      <c r="C138" s="107">
        <f>SUM(C136:C137)</f>
        <v>0</v>
      </c>
      <c r="D138" s="108">
        <f>SUM(B138:C138)</f>
        <v>0</v>
      </c>
    </row>
    <row r="139" spans="1:13" ht="12.75" customHeight="1" x14ac:dyDescent="0.2">
      <c r="A139" s="1" t="str">
        <f>Labels!B82</f>
        <v>IRR Initial Guess (Yr)</v>
      </c>
    </row>
    <row r="140" spans="1:13" ht="12.75" customHeight="1" x14ac:dyDescent="0.2">
      <c r="B140" s="62"/>
    </row>
    <row r="141" spans="1:13" ht="12.75" customHeight="1" x14ac:dyDescent="0.2">
      <c r="A141" s="111" t="str">
        <f>Labels!B182</f>
        <v>Catamarans</v>
      </c>
      <c r="B141" s="220">
        <f>Inputs!E188</f>
        <v>0</v>
      </c>
    </row>
    <row r="142" spans="1:13" ht="12.75" customHeight="1" x14ac:dyDescent="0.2">
      <c r="A142" s="117" t="str">
        <f>Labels!B183</f>
        <v>Canoes</v>
      </c>
      <c r="B142" s="221">
        <f>Inputs!E189</f>
        <v>0</v>
      </c>
    </row>
    <row r="143" spans="1:13" ht="12.75" customHeight="1" x14ac:dyDescent="0.2">
      <c r="A143" s="12" t="str">
        <f>Labels!C181</f>
        <v>Total</v>
      </c>
      <c r="B143" s="222">
        <f>AVERAGE(B141:B142)</f>
        <v>0</v>
      </c>
    </row>
    <row r="144" spans="1:13" ht="12.75" customHeight="1" x14ac:dyDescent="0.2">
      <c r="A144" s="1" t="str">
        <f>Labels!B83</f>
        <v>IRR Initial Guess (Yr)</v>
      </c>
    </row>
    <row r="145" spans="1:4" ht="12.75" customHeight="1" x14ac:dyDescent="0.2">
      <c r="B145" s="62"/>
    </row>
    <row r="146" spans="1:4" ht="12.75" customHeight="1" x14ac:dyDescent="0.2">
      <c r="A146" s="111" t="str">
        <f>Labels!B182</f>
        <v>Catamarans</v>
      </c>
      <c r="B146" s="220">
        <f>Inputs!E191</f>
        <v>0</v>
      </c>
    </row>
    <row r="147" spans="1:4" ht="12.75" customHeight="1" x14ac:dyDescent="0.2">
      <c r="A147" s="117" t="str">
        <f>Labels!B183</f>
        <v>Canoes</v>
      </c>
      <c r="B147" s="221">
        <f>Inputs!E192</f>
        <v>0</v>
      </c>
    </row>
    <row r="148" spans="1:4" ht="12.75" customHeight="1" x14ac:dyDescent="0.2">
      <c r="A148" s="12" t="str">
        <f>Labels!C181</f>
        <v>Total</v>
      </c>
      <c r="B148" s="222">
        <f>AVERAGE(B146:B147)</f>
        <v>0</v>
      </c>
    </row>
    <row r="149" spans="1:4" ht="12.75" customHeight="1" x14ac:dyDescent="0.2">
      <c r="A149" s="1" t="str">
        <f>Labels!B115</f>
        <v>Early Growth % (Yr)</v>
      </c>
    </row>
    <row r="150" spans="1:4" ht="12.75" customHeight="1" x14ac:dyDescent="0.2">
      <c r="B150" s="62"/>
    </row>
    <row r="151" spans="1:4" ht="12.75" customHeight="1" x14ac:dyDescent="0.2">
      <c r="A151" s="111" t="str">
        <f>Labels!B182</f>
        <v>Catamarans</v>
      </c>
      <c r="B151" s="187">
        <f>Inputs!E202</f>
        <v>0</v>
      </c>
    </row>
    <row r="152" spans="1:4" ht="12.75" customHeight="1" x14ac:dyDescent="0.2">
      <c r="A152" s="117" t="str">
        <f>Labels!B183</f>
        <v>Canoes</v>
      </c>
      <c r="B152" s="188">
        <f>Inputs!E203</f>
        <v>0</v>
      </c>
    </row>
    <row r="153" spans="1:4" ht="12.75" customHeight="1" x14ac:dyDescent="0.2">
      <c r="A153" s="12" t="str">
        <f>Labels!C181</f>
        <v>Total</v>
      </c>
      <c r="B153" s="184">
        <f>AVERAGE(B151:B152)</f>
        <v>0</v>
      </c>
    </row>
    <row r="154" spans="1:4" ht="12.75" customHeight="1" x14ac:dyDescent="0.2">
      <c r="A154" s="1" t="str">
        <f>Labels!B117</f>
        <v>Late Growth % (Yr)</v>
      </c>
    </row>
    <row r="155" spans="1:4" ht="12.75" customHeight="1" x14ac:dyDescent="0.2">
      <c r="B155" s="62"/>
    </row>
    <row r="156" spans="1:4" ht="12.75" customHeight="1" x14ac:dyDescent="0.2">
      <c r="A156" s="111" t="str">
        <f>Labels!B182</f>
        <v>Catamarans</v>
      </c>
      <c r="B156" s="187">
        <f>Inputs!E204</f>
        <v>0</v>
      </c>
    </row>
    <row r="157" spans="1:4" ht="12.75" customHeight="1" x14ac:dyDescent="0.2">
      <c r="A157" s="117" t="str">
        <f>Labels!B183</f>
        <v>Canoes</v>
      </c>
      <c r="B157" s="188">
        <f>Inputs!E205</f>
        <v>0</v>
      </c>
    </row>
    <row r="158" spans="1:4" ht="12.75" customHeight="1" x14ac:dyDescent="0.2">
      <c r="A158" s="12" t="str">
        <f>Labels!C181</f>
        <v>Total</v>
      </c>
      <c r="B158" s="184">
        <f>AVERAGE(B156:B157)</f>
        <v>0</v>
      </c>
    </row>
    <row r="159" spans="1:4" ht="12.75" customHeight="1" x14ac:dyDescent="0.2">
      <c r="A159" s="1" t="str">
        <f>Labels!B128</f>
        <v>Max Working Capital</v>
      </c>
    </row>
    <row r="160" spans="1:4" ht="12.75" customHeight="1" x14ac:dyDescent="0.2">
      <c r="B160" s="17" t="str">
        <f>Labels!B182</f>
        <v>Catamarans</v>
      </c>
      <c r="C160" s="18" t="str">
        <f>Labels!B183</f>
        <v>Canoes</v>
      </c>
      <c r="D160" s="62" t="str">
        <f>Labels!C181</f>
        <v>Total</v>
      </c>
    </row>
    <row r="161" spans="1:13" ht="12.75" customHeight="1" x14ac:dyDescent="0.2">
      <c r="A161" s="111" t="str">
        <f>Labels!B190</f>
        <v>Receivables</v>
      </c>
      <c r="B161" s="110">
        <f>MAX(Investment!B71,Investment!D71:G71,Investment!I71:L71)</f>
        <v>0</v>
      </c>
      <c r="C161" s="110">
        <f>MAX(Investment!B75,Investment!D75:G75,Investment!I75:L75)</f>
        <v>0</v>
      </c>
      <c r="D161" s="75">
        <f>MAX(Investment!B79,Investment!D79:G79,Investment!I79:L79)</f>
        <v>0</v>
      </c>
    </row>
    <row r="162" spans="1:13" ht="12.75" customHeight="1" x14ac:dyDescent="0.2">
      <c r="A162" s="117" t="str">
        <f>Labels!B191</f>
        <v>Supplies inventory</v>
      </c>
      <c r="B162" s="120">
        <f>MAX(Investment!B72,Investment!D72:G72,Investment!I72:L72)</f>
        <v>0</v>
      </c>
      <c r="C162" s="120">
        <f>MAX(Investment!B76,Investment!D76:G76,Investment!I76:L76)</f>
        <v>0</v>
      </c>
      <c r="D162" s="69">
        <f>MAX(Investment!B80,Investment!D80:G80,Investment!I80:L80)</f>
        <v>0</v>
      </c>
    </row>
    <row r="163" spans="1:13" ht="12.75" customHeight="1" x14ac:dyDescent="0.2">
      <c r="A163" s="12" t="str">
        <f>Labels!C189</f>
        <v>Total</v>
      </c>
      <c r="B163" s="107">
        <f>MAX(Investment!B73,Investment!D73:G73,Investment!I73:L73)</f>
        <v>0</v>
      </c>
      <c r="C163" s="107">
        <f>MAX(Investment!B77,Investment!D77:G77,Investment!I77:L77)</f>
        <v>0</v>
      </c>
      <c r="D163" s="108">
        <f>MAX(Investment!B78,Investment!D78:G78,Investment!I78:L78)</f>
        <v>0</v>
      </c>
    </row>
    <row r="164" spans="1:13" ht="12.75" customHeight="1" x14ac:dyDescent="0.2">
      <c r="A164" s="1" t="str">
        <f>Labels!B66</f>
        <v>First Investment Date</v>
      </c>
    </row>
    <row r="165" spans="1:13" ht="12.75" customHeight="1" x14ac:dyDescent="0.2">
      <c r="B165" s="62"/>
    </row>
    <row r="166" spans="1:13" ht="12.75" customHeight="1" x14ac:dyDescent="0.2">
      <c r="A166" s="111" t="str">
        <f>Labels!B182</f>
        <v>Catamarans</v>
      </c>
      <c r="B166" s="223">
        <f>MIN(Inputs!F17:F18)</f>
        <v>40543</v>
      </c>
    </row>
    <row r="167" spans="1:13" ht="12.75" customHeight="1" x14ac:dyDescent="0.2">
      <c r="A167" s="121" t="str">
        <f>Labels!B183</f>
        <v>Canoes</v>
      </c>
      <c r="B167" s="224">
        <f>MIN(Inputs!F19:F20)</f>
        <v>40633</v>
      </c>
    </row>
    <row r="168" spans="1:13" ht="12.75" customHeight="1" x14ac:dyDescent="0.2">
      <c r="A168" s="1" t="str">
        <f>Labels!B80</f>
        <v>Invest Time (periods)</v>
      </c>
    </row>
    <row r="169" spans="1:13" ht="12.75" customHeight="1" x14ac:dyDescent="0.2">
      <c r="B169" s="17" t="str">
        <f>'(FnCalls 1)'!G6</f>
        <v>Q4 2010</v>
      </c>
      <c r="C169" s="62" t="str">
        <f>'(FnCalls 1)'!H4</f>
        <v>2010</v>
      </c>
      <c r="D169" s="18" t="str">
        <f>'(FnCalls 1)'!G7</f>
        <v>Q1 2011</v>
      </c>
      <c r="E169" s="18" t="str">
        <f>'(FnCalls 1)'!G8</f>
        <v>Q2 2011</v>
      </c>
      <c r="F169" s="18" t="str">
        <f>'(FnCalls 1)'!G9</f>
        <v>Q3 2011</v>
      </c>
      <c r="G169" s="18" t="str">
        <f>'(FnCalls 1)'!G10</f>
        <v>Q4 2011</v>
      </c>
      <c r="H169" s="62" t="str">
        <f>'(FnCalls 1)'!H7</f>
        <v>2011</v>
      </c>
      <c r="I169" s="18" t="str">
        <f>'(FnCalls 1)'!G11</f>
        <v>Q1 2012</v>
      </c>
      <c r="J169" s="18" t="str">
        <f>'(FnCalls 1)'!G12</f>
        <v>Q2 2012</v>
      </c>
      <c r="K169" s="18" t="str">
        <f>'(FnCalls 1)'!G13</f>
        <v>Q3 2012</v>
      </c>
      <c r="L169" s="18" t="str">
        <f>'(FnCalls 1)'!G14</f>
        <v>Q4 2012</v>
      </c>
      <c r="M169" s="62" t="str">
        <f>'(FnCalls 1)'!H11</f>
        <v>2012</v>
      </c>
    </row>
    <row r="170" spans="1:13" ht="12.75" customHeight="1" x14ac:dyDescent="0.2">
      <c r="A170" s="111" t="str">
        <f>Labels!B182</f>
        <v>Catamarans</v>
      </c>
      <c r="B170" s="135"/>
      <c r="C170" s="150"/>
      <c r="D170" s="135"/>
      <c r="E170" s="135"/>
      <c r="F170" s="135"/>
      <c r="G170" s="135"/>
      <c r="H170" s="150"/>
      <c r="I170" s="135"/>
      <c r="J170" s="135"/>
      <c r="K170" s="135"/>
      <c r="L170" s="135"/>
      <c r="M170" s="150"/>
    </row>
    <row r="171" spans="1:13" ht="12.75" customHeight="1" x14ac:dyDescent="0.2">
      <c r="A171" s="114" t="str">
        <f>"   "&amp;Labels!B170</f>
        <v xml:space="preserve">   Invest 1</v>
      </c>
      <c r="B171" s="216">
        <f>IF(OR('(FnCalls 1)'!A6-1-Inputs!F17&lt;0,Inputs!F17-INDEX('(Ranges)'!A13:J13,,MAX(1,'Plot Support'!B41-B184-1))&lt;0),0,IF(0&lt;B184,0+1,0))</f>
        <v>0</v>
      </c>
      <c r="C171" s="151">
        <f>L171</f>
        <v>8</v>
      </c>
      <c r="D171" s="216">
        <f>IF(OR('(FnCalls 1)'!A7-1-Inputs!F17&lt;0,Inputs!F17-INDEX('(Ranges)'!A13:J13,,MAX(1,'Plot Support'!B43-B184-1))&lt;0),0,IF(B171&lt;B184,B171+1,0))</f>
        <v>1</v>
      </c>
      <c r="E171" s="216">
        <f>IF(OR('(FnCalls 1)'!A8-1-Inputs!F17&lt;0,Inputs!F17-INDEX('(Ranges)'!A13:J13,,MAX(1,'Plot Support'!B44-B184-1))&lt;0),0,IF(D171&lt;B184,D171+1,0))</f>
        <v>2</v>
      </c>
      <c r="F171" s="216">
        <f>IF(OR('(FnCalls 1)'!A9-1-Inputs!F17&lt;0,Inputs!F17-INDEX('(Ranges)'!A13:J13,,MAX(1,'Plot Support'!B45-B184-1))&lt;0),0,IF(E171&lt;B184,E171+1,0))</f>
        <v>3</v>
      </c>
      <c r="G171" s="216">
        <f>IF(OR('(FnCalls 1)'!A10-1-Inputs!F17&lt;0,Inputs!F17-INDEX('(Ranges)'!A13:J13,,MAX(1,'Plot Support'!B46-B184-1))&lt;0),0,IF(F171&lt;B184,F171+1,0))</f>
        <v>4</v>
      </c>
      <c r="H171" s="151">
        <f>L171</f>
        <v>8</v>
      </c>
      <c r="I171" s="216">
        <f>IF(OR('(FnCalls 1)'!A11-1-Inputs!F17&lt;0,Inputs!F17-INDEX('(Ranges)'!A13:J13,,MAX(1,'Plot Support'!B48-B184-1))&lt;0),0,IF(G171&lt;B184,G171+1,0))</f>
        <v>5</v>
      </c>
      <c r="J171" s="216">
        <f>IF(OR('(FnCalls 1)'!A12-1-Inputs!F17&lt;0,Inputs!F17-INDEX('(Ranges)'!A13:J13,,MAX(1,'Plot Support'!B49-B184-1))&lt;0),0,IF(I171&lt;B184,I171+1,0))</f>
        <v>6</v>
      </c>
      <c r="K171" s="216">
        <f>IF(OR('(FnCalls 1)'!A13-1-Inputs!F17&lt;0,Inputs!F17-INDEX('(Ranges)'!A13:J13,,MAX(1,'Plot Support'!B50-B184-1))&lt;0),0,IF(J171&lt;B184,J171+1,0))</f>
        <v>7</v>
      </c>
      <c r="L171" s="216">
        <f>IF(OR('(FnCalls 1)'!A14-1-Inputs!F17&lt;0,Inputs!F17-INDEX('(Ranges)'!A13:J13,,MAX(1,'Plot Support'!B51-B184-1))&lt;0),0,IF(K171&lt;B184,K171+1,0))</f>
        <v>8</v>
      </c>
      <c r="M171" s="151">
        <f>L171</f>
        <v>8</v>
      </c>
    </row>
    <row r="172" spans="1:13" ht="12.75" customHeight="1" x14ac:dyDescent="0.2">
      <c r="A172" s="114" t="str">
        <f>"   "&amp;Labels!B171</f>
        <v xml:space="preserve">   Invest 2</v>
      </c>
      <c r="B172" s="216">
        <f>IF(OR('(FnCalls 1)'!A6-1-Inputs!F18&lt;0,Inputs!F18-INDEX('(Ranges)'!A13:J13,,MAX(1,'Plot Support'!B41-B185-1))&lt;0),0,IF(0&lt;B185,0+1,0))</f>
        <v>0</v>
      </c>
      <c r="C172" s="151">
        <f>L172</f>
        <v>8</v>
      </c>
      <c r="D172" s="216">
        <f>IF(OR('(FnCalls 1)'!A7-1-Inputs!F18&lt;0,Inputs!F18-INDEX('(Ranges)'!A13:J13,,MAX(1,'Plot Support'!B43-B185-1))&lt;0),0,IF(B172&lt;B185,B172+1,0))</f>
        <v>1</v>
      </c>
      <c r="E172" s="216">
        <f>IF(OR('(FnCalls 1)'!A8-1-Inputs!F18&lt;0,Inputs!F18-INDEX('(Ranges)'!A13:J13,,MAX(1,'Plot Support'!B44-B185-1))&lt;0),0,IF(D172&lt;B185,D172+1,0))</f>
        <v>2</v>
      </c>
      <c r="F172" s="216">
        <f>IF(OR('(FnCalls 1)'!A9-1-Inputs!F18&lt;0,Inputs!F18-INDEX('(Ranges)'!A13:J13,,MAX(1,'Plot Support'!B45-B185-1))&lt;0),0,IF(E172&lt;B185,E172+1,0))</f>
        <v>3</v>
      </c>
      <c r="G172" s="216">
        <f>IF(OR('(FnCalls 1)'!A10-1-Inputs!F18&lt;0,Inputs!F18-INDEX('(Ranges)'!A13:J13,,MAX(1,'Plot Support'!B46-B185-1))&lt;0),0,IF(F172&lt;B185,F172+1,0))</f>
        <v>4</v>
      </c>
      <c r="H172" s="151">
        <f>L172</f>
        <v>8</v>
      </c>
      <c r="I172" s="216">
        <f>IF(OR('(FnCalls 1)'!A11-1-Inputs!F18&lt;0,Inputs!F18-INDEX('(Ranges)'!A13:J13,,MAX(1,'Plot Support'!B48-B185-1))&lt;0),0,IF(G172&lt;B185,G172+1,0))</f>
        <v>5</v>
      </c>
      <c r="J172" s="216">
        <f>IF(OR('(FnCalls 1)'!A12-1-Inputs!F18&lt;0,Inputs!F18-INDEX('(Ranges)'!A13:J13,,MAX(1,'Plot Support'!B49-B185-1))&lt;0),0,IF(I172&lt;B185,I172+1,0))</f>
        <v>6</v>
      </c>
      <c r="K172" s="216">
        <f>IF(OR('(FnCalls 1)'!A13-1-Inputs!F18&lt;0,Inputs!F18-INDEX('(Ranges)'!A13:J13,,MAX(1,'Plot Support'!B50-B185-1))&lt;0),0,IF(J172&lt;B185,J172+1,0))</f>
        <v>7</v>
      </c>
      <c r="L172" s="216">
        <f>IF(OR('(FnCalls 1)'!A14-1-Inputs!F18&lt;0,Inputs!F18-INDEX('(Ranges)'!A13:J13,,MAX(1,'Plot Support'!B51-B185-1))&lt;0),0,IF(K172&lt;B185,K172+1,0))</f>
        <v>8</v>
      </c>
      <c r="M172" s="151">
        <f>L172</f>
        <v>8</v>
      </c>
    </row>
    <row r="173" spans="1:13" ht="12.75" customHeight="1" x14ac:dyDescent="0.2">
      <c r="A173" s="117" t="str">
        <f>"   "&amp;Labels!C169</f>
        <v xml:space="preserve">   Total</v>
      </c>
      <c r="B173" s="139">
        <f>MIN(1,MIN(B171:B172))</f>
        <v>0</v>
      </c>
      <c r="C173" s="151">
        <f>MIN(1,MIN(L171:L172))</f>
        <v>1</v>
      </c>
      <c r="D173" s="139">
        <f>MIN(1,MIN(D171:D172))</f>
        <v>1</v>
      </c>
      <c r="E173" s="139">
        <f>MIN(1,MIN(E171:E172))</f>
        <v>1</v>
      </c>
      <c r="F173" s="139">
        <f>MIN(1,MIN(F171:F172))</f>
        <v>1</v>
      </c>
      <c r="G173" s="139">
        <f>MIN(1,MIN(G171:G172))</f>
        <v>1</v>
      </c>
      <c r="H173" s="151">
        <f>MIN(1,MIN(L171:L172))</f>
        <v>1</v>
      </c>
      <c r="I173" s="139">
        <f>MIN(1,MIN(I171:I172))</f>
        <v>1</v>
      </c>
      <c r="J173" s="139">
        <f>MIN(1,MIN(J171:J172))</f>
        <v>1</v>
      </c>
      <c r="K173" s="139">
        <f>MIN(1,MIN(K171:K172))</f>
        <v>1</v>
      </c>
      <c r="L173" s="139">
        <f>MIN(1,MIN(L171:L172))</f>
        <v>1</v>
      </c>
      <c r="M173" s="151">
        <f>MIN(1,MIN(L171:L172))</f>
        <v>1</v>
      </c>
    </row>
    <row r="174" spans="1:13" ht="12.75" customHeight="1" x14ac:dyDescent="0.2">
      <c r="A174" s="117" t="str">
        <f>Labels!B183</f>
        <v>Canoes</v>
      </c>
      <c r="B174" s="139"/>
      <c r="C174" s="151"/>
      <c r="D174" s="139"/>
      <c r="E174" s="139"/>
      <c r="F174" s="139"/>
      <c r="G174" s="139"/>
      <c r="H174" s="151"/>
      <c r="I174" s="139"/>
      <c r="J174" s="139"/>
      <c r="K174" s="139"/>
      <c r="L174" s="139"/>
      <c r="M174" s="151"/>
    </row>
    <row r="175" spans="1:13" ht="12.75" customHeight="1" x14ac:dyDescent="0.2">
      <c r="A175" s="114" t="str">
        <f>"   "&amp;Labels!B170</f>
        <v xml:space="preserve">   Invest 1</v>
      </c>
      <c r="B175" s="216">
        <f>IF(OR('(FnCalls 1)'!A6-1-Inputs!F19&lt;0,Inputs!F19-INDEX('(Ranges)'!A13:J13,,MAX(1,'Plot Support'!B41-C184-1))&lt;0),0,IF(0&lt;C184,0+1,0))</f>
        <v>0</v>
      </c>
      <c r="C175" s="151">
        <f>L175</f>
        <v>7</v>
      </c>
      <c r="D175" s="216">
        <f>IF(OR('(FnCalls 1)'!A7-1-Inputs!F19&lt;0,Inputs!F19-INDEX('(Ranges)'!A13:J13,,MAX(1,'Plot Support'!B43-C184-1))&lt;0),0,IF(B175&lt;C184,B175+1,0))</f>
        <v>0</v>
      </c>
      <c r="E175" s="216">
        <f>IF(OR('(FnCalls 1)'!A8-1-Inputs!F19&lt;0,Inputs!F19-INDEX('(Ranges)'!A13:J13,,MAX(1,'Plot Support'!B44-C184-1))&lt;0),0,IF(D175&lt;C184,D175+1,0))</f>
        <v>1</v>
      </c>
      <c r="F175" s="216">
        <f>IF(OR('(FnCalls 1)'!A9-1-Inputs!F19&lt;0,Inputs!F19-INDEX('(Ranges)'!A13:J13,,MAX(1,'Plot Support'!B45-C184-1))&lt;0),0,IF(E175&lt;C184,E175+1,0))</f>
        <v>2</v>
      </c>
      <c r="G175" s="216">
        <f>IF(OR('(FnCalls 1)'!A10-1-Inputs!F19&lt;0,Inputs!F19-INDEX('(Ranges)'!A13:J13,,MAX(1,'Plot Support'!B46-C184-1))&lt;0),0,IF(F175&lt;C184,F175+1,0))</f>
        <v>3</v>
      </c>
      <c r="H175" s="151">
        <f>L175</f>
        <v>7</v>
      </c>
      <c r="I175" s="216">
        <f>IF(OR('(FnCalls 1)'!A11-1-Inputs!F19&lt;0,Inputs!F19-INDEX('(Ranges)'!A13:J13,,MAX(1,'Plot Support'!B48-C184-1))&lt;0),0,IF(G175&lt;C184,G175+1,0))</f>
        <v>4</v>
      </c>
      <c r="J175" s="216">
        <f>IF(OR('(FnCalls 1)'!A12-1-Inputs!F19&lt;0,Inputs!F19-INDEX('(Ranges)'!A13:J13,,MAX(1,'Plot Support'!B49-C184-1))&lt;0),0,IF(I175&lt;C184,I175+1,0))</f>
        <v>5</v>
      </c>
      <c r="K175" s="216">
        <f>IF(OR('(FnCalls 1)'!A13-1-Inputs!F19&lt;0,Inputs!F19-INDEX('(Ranges)'!A13:J13,,MAX(1,'Plot Support'!B50-C184-1))&lt;0),0,IF(J175&lt;C184,J175+1,0))</f>
        <v>6</v>
      </c>
      <c r="L175" s="216">
        <f>IF(OR('(FnCalls 1)'!A14-1-Inputs!F19&lt;0,Inputs!F19-INDEX('(Ranges)'!A13:J13,,MAX(1,'Plot Support'!B51-C184-1))&lt;0),0,IF(K175&lt;C184,K175+1,0))</f>
        <v>7</v>
      </c>
      <c r="M175" s="151">
        <f>L175</f>
        <v>7</v>
      </c>
    </row>
    <row r="176" spans="1:13" ht="12.75" customHeight="1" x14ac:dyDescent="0.2">
      <c r="A176" s="114" t="str">
        <f>"   "&amp;Labels!B171</f>
        <v xml:space="preserve">   Invest 2</v>
      </c>
      <c r="B176" s="216">
        <f>IF(OR('(FnCalls 1)'!A6-1-Inputs!F20&lt;0,Inputs!F20-INDEX('(Ranges)'!A13:J13,,MAX(1,'Plot Support'!B41-C185-1))&lt;0),0,IF(0&lt;C185,0+1,0))</f>
        <v>0</v>
      </c>
      <c r="C176" s="151">
        <f>L176</f>
        <v>7</v>
      </c>
      <c r="D176" s="216">
        <f>IF(OR('(FnCalls 1)'!A7-1-Inputs!F20&lt;0,Inputs!F20-INDEX('(Ranges)'!A13:J13,,MAX(1,'Plot Support'!B43-C185-1))&lt;0),0,IF(B176&lt;C185,B176+1,0))</f>
        <v>0</v>
      </c>
      <c r="E176" s="216">
        <f>IF(OR('(FnCalls 1)'!A8-1-Inputs!F20&lt;0,Inputs!F20-INDEX('(Ranges)'!A13:J13,,MAX(1,'Plot Support'!B44-C185-1))&lt;0),0,IF(D176&lt;C185,D176+1,0))</f>
        <v>1</v>
      </c>
      <c r="F176" s="216">
        <f>IF(OR('(FnCalls 1)'!A9-1-Inputs!F20&lt;0,Inputs!F20-INDEX('(Ranges)'!A13:J13,,MAX(1,'Plot Support'!B45-C185-1))&lt;0),0,IF(E176&lt;C185,E176+1,0))</f>
        <v>2</v>
      </c>
      <c r="G176" s="216">
        <f>IF(OR('(FnCalls 1)'!A10-1-Inputs!F20&lt;0,Inputs!F20-INDEX('(Ranges)'!A13:J13,,MAX(1,'Plot Support'!B46-C185-1))&lt;0),0,IF(F176&lt;C185,F176+1,0))</f>
        <v>3</v>
      </c>
      <c r="H176" s="151">
        <f>L176</f>
        <v>7</v>
      </c>
      <c r="I176" s="216">
        <f>IF(OR('(FnCalls 1)'!A11-1-Inputs!F20&lt;0,Inputs!F20-INDEX('(Ranges)'!A13:J13,,MAX(1,'Plot Support'!B48-C185-1))&lt;0),0,IF(G176&lt;C185,G176+1,0))</f>
        <v>4</v>
      </c>
      <c r="J176" s="216">
        <f>IF(OR('(FnCalls 1)'!A12-1-Inputs!F20&lt;0,Inputs!F20-INDEX('(Ranges)'!A13:J13,,MAX(1,'Plot Support'!B49-C185-1))&lt;0),0,IF(I176&lt;C185,I176+1,0))</f>
        <v>5</v>
      </c>
      <c r="K176" s="216">
        <f>IF(OR('(FnCalls 1)'!A13-1-Inputs!F20&lt;0,Inputs!F20-INDEX('(Ranges)'!A13:J13,,MAX(1,'Plot Support'!B50-C185-1))&lt;0),0,IF(J176&lt;C185,J176+1,0))</f>
        <v>6</v>
      </c>
      <c r="L176" s="216">
        <f>IF(OR('(FnCalls 1)'!A14-1-Inputs!F20&lt;0,Inputs!F20-INDEX('(Ranges)'!A13:J13,,MAX(1,'Plot Support'!B51-C185-1))&lt;0),0,IF(K176&lt;C185,K176+1,0))</f>
        <v>7</v>
      </c>
      <c r="M176" s="151">
        <f>L176</f>
        <v>7</v>
      </c>
    </row>
    <row r="177" spans="1:13" ht="12.75" customHeight="1" x14ac:dyDescent="0.2">
      <c r="A177" s="117" t="str">
        <f>"   "&amp;Labels!C169</f>
        <v xml:space="preserve">   Total</v>
      </c>
      <c r="B177" s="139">
        <f>MIN(1,MIN(B175:B176))</f>
        <v>0</v>
      </c>
      <c r="C177" s="151">
        <f>MIN(1,MIN(L175:L176))</f>
        <v>1</v>
      </c>
      <c r="D177" s="139">
        <f>MIN(1,MIN(D175:D176))</f>
        <v>0</v>
      </c>
      <c r="E177" s="139">
        <f>MIN(1,MIN(E175:E176))</f>
        <v>1</v>
      </c>
      <c r="F177" s="139">
        <f>MIN(1,MIN(F175:F176))</f>
        <v>1</v>
      </c>
      <c r="G177" s="139">
        <f>MIN(1,MIN(G175:G176))</f>
        <v>1</v>
      </c>
      <c r="H177" s="151">
        <f>MIN(1,MIN(L175:L176))</f>
        <v>1</v>
      </c>
      <c r="I177" s="139">
        <f>MIN(1,MIN(I175:I176))</f>
        <v>1</v>
      </c>
      <c r="J177" s="139">
        <f>MIN(1,MIN(J175:J176))</f>
        <v>1</v>
      </c>
      <c r="K177" s="139">
        <f>MIN(1,MIN(K175:K176))</f>
        <v>1</v>
      </c>
      <c r="L177" s="139">
        <f>MIN(1,MIN(L175:L176))</f>
        <v>1</v>
      </c>
      <c r="M177" s="151">
        <f>MIN(1,MIN(L175:L176))</f>
        <v>1</v>
      </c>
    </row>
    <row r="178" spans="1:13" ht="12.75" customHeight="1" x14ac:dyDescent="0.2">
      <c r="A178" s="12" t="str">
        <f>Labels!C181</f>
        <v>Total</v>
      </c>
      <c r="B178" s="141">
        <f>MIN(1,MIN(B179:B180))</f>
        <v>0</v>
      </c>
      <c r="C178" s="217">
        <f>MIN(1,MIN(L179:L180))</f>
        <v>1</v>
      </c>
      <c r="D178" s="141">
        <f>MIN(1,MIN(D179:D180))</f>
        <v>0.5</v>
      </c>
      <c r="E178" s="141">
        <f>MIN(1,MIN(E179:E180))</f>
        <v>1</v>
      </c>
      <c r="F178" s="141">
        <f>MIN(1,MIN(F179:F180))</f>
        <v>1</v>
      </c>
      <c r="G178" s="141">
        <f>MIN(1,MIN(G179:G180))</f>
        <v>1</v>
      </c>
      <c r="H178" s="217">
        <f>MIN(1,MIN(L179:L180))</f>
        <v>1</v>
      </c>
      <c r="I178" s="141">
        <f>MIN(1,MIN(I179:I180))</f>
        <v>1</v>
      </c>
      <c r="J178" s="141">
        <f>MIN(1,MIN(J179:J180))</f>
        <v>1</v>
      </c>
      <c r="K178" s="141">
        <f>MIN(1,MIN(K179:K180))</f>
        <v>1</v>
      </c>
      <c r="L178" s="141">
        <f>MIN(1,MIN(L179:L180))</f>
        <v>1</v>
      </c>
      <c r="M178" s="217">
        <f>MIN(1,MIN(L179:L180))</f>
        <v>1</v>
      </c>
    </row>
    <row r="179" spans="1:13" ht="12.75" customHeight="1" x14ac:dyDescent="0.2">
      <c r="A179" s="114" t="str">
        <f>"   "&amp;Labels!B170</f>
        <v xml:space="preserve">   Invest 1</v>
      </c>
      <c r="B179" s="216">
        <f>AVERAGE(B171,B175)</f>
        <v>0</v>
      </c>
      <c r="C179" s="151">
        <f>AVERAGE(L171,L175)</f>
        <v>7.5</v>
      </c>
      <c r="D179" s="216">
        <f t="shared" ref="D179:G180" si="24">AVERAGE(D171,D175)</f>
        <v>0.5</v>
      </c>
      <c r="E179" s="216">
        <f t="shared" si="24"/>
        <v>1.5</v>
      </c>
      <c r="F179" s="216">
        <f t="shared" si="24"/>
        <v>2.5</v>
      </c>
      <c r="G179" s="216">
        <f t="shared" si="24"/>
        <v>3.5</v>
      </c>
      <c r="H179" s="151">
        <f>AVERAGE(L171,L175)</f>
        <v>7.5</v>
      </c>
      <c r="I179" s="216">
        <f t="shared" ref="I179:L180" si="25">AVERAGE(I171,I175)</f>
        <v>4.5</v>
      </c>
      <c r="J179" s="216">
        <f t="shared" si="25"/>
        <v>5.5</v>
      </c>
      <c r="K179" s="216">
        <f t="shared" si="25"/>
        <v>6.5</v>
      </c>
      <c r="L179" s="216">
        <f t="shared" si="25"/>
        <v>7.5</v>
      </c>
      <c r="M179" s="151">
        <f>AVERAGE(L171,L175)</f>
        <v>7.5</v>
      </c>
    </row>
    <row r="180" spans="1:13" ht="12.75" customHeight="1" x14ac:dyDescent="0.2">
      <c r="A180" s="114" t="str">
        <f>"   "&amp;Labels!B171</f>
        <v xml:space="preserve">   Invest 2</v>
      </c>
      <c r="B180" s="216">
        <f>AVERAGE(B172,B176)</f>
        <v>0</v>
      </c>
      <c r="C180" s="151">
        <f>AVERAGE(L172,L176)</f>
        <v>7.5</v>
      </c>
      <c r="D180" s="216">
        <f t="shared" si="24"/>
        <v>0.5</v>
      </c>
      <c r="E180" s="216">
        <f t="shared" si="24"/>
        <v>1.5</v>
      </c>
      <c r="F180" s="216">
        <f t="shared" si="24"/>
        <v>2.5</v>
      </c>
      <c r="G180" s="216">
        <f t="shared" si="24"/>
        <v>3.5</v>
      </c>
      <c r="H180" s="151">
        <f>AVERAGE(L172,L176)</f>
        <v>7.5</v>
      </c>
      <c r="I180" s="216">
        <f t="shared" si="25"/>
        <v>4.5</v>
      </c>
      <c r="J180" s="216">
        <f t="shared" si="25"/>
        <v>5.5</v>
      </c>
      <c r="K180" s="216">
        <f t="shared" si="25"/>
        <v>6.5</v>
      </c>
      <c r="L180" s="216">
        <f t="shared" si="25"/>
        <v>7.5</v>
      </c>
      <c r="M180" s="151">
        <f>AVERAGE(L172,L176)</f>
        <v>7.5</v>
      </c>
    </row>
    <row r="181" spans="1:13" ht="12.75" customHeight="1" x14ac:dyDescent="0.2">
      <c r="A181" s="121" t="str">
        <f>"   "&amp;Labels!C169</f>
        <v xml:space="preserve">   Total</v>
      </c>
      <c r="B181" s="143">
        <f>MIN(1,MIN(B179:B180))</f>
        <v>0</v>
      </c>
      <c r="C181" s="152">
        <f>MIN(1,MIN(L179:L180))</f>
        <v>1</v>
      </c>
      <c r="D181" s="143">
        <f>MIN(1,MIN(D179:D180))</f>
        <v>0.5</v>
      </c>
      <c r="E181" s="143">
        <f>MIN(1,MIN(E179:E180))</f>
        <v>1</v>
      </c>
      <c r="F181" s="143">
        <f>MIN(1,MIN(F179:F180))</f>
        <v>1</v>
      </c>
      <c r="G181" s="143">
        <f>MIN(1,MIN(G179:G180))</f>
        <v>1</v>
      </c>
      <c r="H181" s="152">
        <f>MIN(1,MIN(L179:L180))</f>
        <v>1</v>
      </c>
      <c r="I181" s="143">
        <f>MIN(1,MIN(I179:I180))</f>
        <v>1</v>
      </c>
      <c r="J181" s="143">
        <f>MIN(1,MIN(J179:J180))</f>
        <v>1</v>
      </c>
      <c r="K181" s="143">
        <f>MIN(1,MIN(K179:K180))</f>
        <v>1</v>
      </c>
      <c r="L181" s="143">
        <f>MIN(1,MIN(L179:L180))</f>
        <v>1</v>
      </c>
      <c r="M181" s="152">
        <f>MIN(1,MIN(L179:L180))</f>
        <v>1</v>
      </c>
    </row>
    <row r="182" spans="1:13" ht="12.75" customHeight="1" x14ac:dyDescent="0.2">
      <c r="A182" s="1" t="str">
        <f>Labels!B71</f>
        <v>Invest Depr Life (periods)</v>
      </c>
    </row>
    <row r="183" spans="1:13" ht="12.75" customHeight="1" x14ac:dyDescent="0.2">
      <c r="B183" s="17" t="str">
        <f>Labels!B182</f>
        <v>Catamarans</v>
      </c>
      <c r="C183" s="18" t="str">
        <f>Labels!B183</f>
        <v>Canoes</v>
      </c>
      <c r="D183" s="62" t="str">
        <f>Labels!C181</f>
        <v>Total</v>
      </c>
    </row>
    <row r="184" spans="1:13" ht="12.75" customHeight="1" x14ac:dyDescent="0.2">
      <c r="A184" s="111" t="str">
        <f>Labels!B170</f>
        <v>Invest 1</v>
      </c>
      <c r="B184" s="135">
        <f>ROUND(Inputs!I17*4,0)</f>
        <v>12</v>
      </c>
      <c r="C184" s="135">
        <f>ROUND(Inputs!I19*4,0)</f>
        <v>12</v>
      </c>
      <c r="D184" s="150">
        <f>AVERAGE(B184:C184)</f>
        <v>12</v>
      </c>
    </row>
    <row r="185" spans="1:13" ht="12.75" customHeight="1" x14ac:dyDescent="0.2">
      <c r="A185" s="117" t="str">
        <f>Labels!B171</f>
        <v>Invest 2</v>
      </c>
      <c r="B185" s="139">
        <f>ROUND(Inputs!I18*4,0)</f>
        <v>12</v>
      </c>
      <c r="C185" s="139">
        <f>ROUND(Inputs!I20*4,0)</f>
        <v>12</v>
      </c>
      <c r="D185" s="151">
        <f>AVERAGE(B185:C185)</f>
        <v>12</v>
      </c>
    </row>
    <row r="186" spans="1:13" ht="12.75" customHeight="1" x14ac:dyDescent="0.2">
      <c r="A186" s="12" t="str">
        <f>Labels!C169</f>
        <v>Total</v>
      </c>
      <c r="B186" s="141">
        <f>AVERAGE(B184:B185)</f>
        <v>12</v>
      </c>
      <c r="C186" s="141">
        <f>AVERAGE(C184:C185)</f>
        <v>12</v>
      </c>
      <c r="D186" s="217">
        <f>AVERAGE(B186:C186)</f>
        <v>12</v>
      </c>
    </row>
    <row r="187" spans="1:13" ht="12.75" customHeight="1" x14ac:dyDescent="0.2">
      <c r="A187" s="1" t="str">
        <f>Labels!B11</f>
        <v>Borrowing Rate</v>
      </c>
    </row>
    <row r="188" spans="1:13" ht="12.75" customHeight="1" x14ac:dyDescent="0.2">
      <c r="B188" s="17" t="str">
        <f>'(FnCalls 1)'!G6</f>
        <v>Q4 2010</v>
      </c>
      <c r="C188" s="62" t="str">
        <f>'(FnCalls 1)'!H4</f>
        <v>2010</v>
      </c>
      <c r="D188" s="18" t="str">
        <f>'(FnCalls 1)'!G7</f>
        <v>Q1 2011</v>
      </c>
      <c r="E188" s="18" t="str">
        <f>'(FnCalls 1)'!G8</f>
        <v>Q2 2011</v>
      </c>
      <c r="F188" s="18" t="str">
        <f>'(FnCalls 1)'!G9</f>
        <v>Q3 2011</v>
      </c>
      <c r="G188" s="18" t="str">
        <f>'(FnCalls 1)'!G10</f>
        <v>Q4 2011</v>
      </c>
      <c r="H188" s="62" t="str">
        <f>'(FnCalls 1)'!H7</f>
        <v>2011</v>
      </c>
      <c r="I188" s="18" t="str">
        <f>'(FnCalls 1)'!G11</f>
        <v>Q1 2012</v>
      </c>
      <c r="J188" s="18" t="str">
        <f>'(FnCalls 1)'!G12</f>
        <v>Q2 2012</v>
      </c>
      <c r="K188" s="18" t="str">
        <f>'(FnCalls 1)'!G13</f>
        <v>Q3 2012</v>
      </c>
      <c r="L188" s="18" t="str">
        <f>'(FnCalls 1)'!G14</f>
        <v>Q4 2012</v>
      </c>
      <c r="M188" s="62" t="str">
        <f>'(FnCalls 1)'!H11</f>
        <v>2012</v>
      </c>
    </row>
    <row r="189" spans="1:13" ht="12.75" customHeight="1" x14ac:dyDescent="0.2">
      <c r="A189" s="111" t="str">
        <f>Labels!B182</f>
        <v>Catamarans</v>
      </c>
      <c r="B189" s="146"/>
      <c r="C189" s="65"/>
      <c r="D189" s="146"/>
      <c r="E189" s="146"/>
      <c r="F189" s="146"/>
      <c r="G189" s="146"/>
      <c r="H189" s="65"/>
      <c r="I189" s="146"/>
      <c r="J189" s="146"/>
      <c r="K189" s="146"/>
      <c r="L189" s="146"/>
      <c r="M189" s="65"/>
    </row>
    <row r="190" spans="1:13" ht="12.75" customHeight="1" x14ac:dyDescent="0.2">
      <c r="A190" s="114" t="str">
        <f>"   "&amp;Labels!B170</f>
        <v xml:space="preserve">   Invest 1</v>
      </c>
      <c r="B190" s="148">
        <f>(1+Inputs!E161)^(1/4)-1</f>
        <v>2.4113689084445111E-2</v>
      </c>
      <c r="C190" s="68">
        <f>(1+B190)^1-1</f>
        <v>2.4113689084445111E-2</v>
      </c>
      <c r="D190" s="148">
        <f>(1+Inputs!G161)^(1/4)-1</f>
        <v>2.4113689084445111E-2</v>
      </c>
      <c r="E190" s="148">
        <f>(1+Inputs!H161)^(1/4)-1</f>
        <v>2.4113689084445111E-2</v>
      </c>
      <c r="F190" s="148">
        <f>(1+Inputs!I161)^(1/4)-1</f>
        <v>2.4113689084445111E-2</v>
      </c>
      <c r="G190" s="148">
        <f>(1+Inputs!J161)^(1/4)-1</f>
        <v>2.4113689084445111E-2</v>
      </c>
      <c r="H190" s="68">
        <f>(1+D190)^1*(1+E190)^1*(1+F190)^1*(1+G190)^1-1</f>
        <v>9.9999999999999867E-2</v>
      </c>
      <c r="I190" s="148">
        <f>(1+Inputs!L161)^(1/4)-1</f>
        <v>2.4113689084445111E-2</v>
      </c>
      <c r="J190" s="148">
        <f>(1+Inputs!M161)^(1/4)-1</f>
        <v>2.4113689084445111E-2</v>
      </c>
      <c r="K190" s="148">
        <f>(1+Inputs!N161)^(1/4)-1</f>
        <v>2.4113689084445111E-2</v>
      </c>
      <c r="L190" s="148">
        <f>(1+Inputs!O161)^(1/4)-1</f>
        <v>2.4113689084445111E-2</v>
      </c>
      <c r="M190" s="68">
        <f>(1+I190)^1*(1+J190)^1*(1+K190)^1*(1+L190)^1-1</f>
        <v>9.9999999999999867E-2</v>
      </c>
    </row>
    <row r="191" spans="1:13" ht="12.75" customHeight="1" x14ac:dyDescent="0.2">
      <c r="A191" s="114" t="str">
        <f>"   "&amp;Labels!B171</f>
        <v xml:space="preserve">   Invest 2</v>
      </c>
      <c r="B191" s="148">
        <f>(1+Inputs!E162)^(1/4)-1</f>
        <v>2.4113689084445111E-2</v>
      </c>
      <c r="C191" s="68">
        <f>(1+B191)^1-1</f>
        <v>2.4113689084445111E-2</v>
      </c>
      <c r="D191" s="148">
        <f>(1+Inputs!G162)^(1/4)-1</f>
        <v>2.4113689084445111E-2</v>
      </c>
      <c r="E191" s="148">
        <f>(1+Inputs!H162)^(1/4)-1</f>
        <v>2.4113689084445111E-2</v>
      </c>
      <c r="F191" s="148">
        <f>(1+Inputs!I162)^(1/4)-1</f>
        <v>2.4113689084445111E-2</v>
      </c>
      <c r="G191" s="148">
        <f>(1+Inputs!J162)^(1/4)-1</f>
        <v>2.4113689084445111E-2</v>
      </c>
      <c r="H191" s="68">
        <f>(1+D191)^1*(1+E191)^1*(1+F191)^1*(1+G191)^1-1</f>
        <v>9.9999999999999867E-2</v>
      </c>
      <c r="I191" s="148">
        <f>(1+Inputs!L162)^(1/4)-1</f>
        <v>2.4113689084445111E-2</v>
      </c>
      <c r="J191" s="148">
        <f>(1+Inputs!M162)^(1/4)-1</f>
        <v>2.4113689084445111E-2</v>
      </c>
      <c r="K191" s="148">
        <f>(1+Inputs!N162)^(1/4)-1</f>
        <v>2.4113689084445111E-2</v>
      </c>
      <c r="L191" s="148">
        <f>(1+Inputs!O162)^(1/4)-1</f>
        <v>2.4113689084445111E-2</v>
      </c>
      <c r="M191" s="68">
        <f>(1+I191)^1*(1+J191)^1*(1+K191)^1*(1+L191)^1-1</f>
        <v>9.9999999999999867E-2</v>
      </c>
    </row>
    <row r="192" spans="1:13" ht="12.75" customHeight="1" x14ac:dyDescent="0.2">
      <c r="A192" s="117" t="str">
        <f>"   "&amp;Labels!C169</f>
        <v xml:space="preserve">   Total</v>
      </c>
      <c r="B192" s="149">
        <f>AVERAGE(B190:B191)</f>
        <v>2.4113689084445111E-2</v>
      </c>
      <c r="C192" s="68">
        <f>(1+B192)^1-1</f>
        <v>2.4113689084445111E-2</v>
      </c>
      <c r="D192" s="149">
        <f>AVERAGE(D190:D191)</f>
        <v>2.4113689084445111E-2</v>
      </c>
      <c r="E192" s="149">
        <f>AVERAGE(E190:E191)</f>
        <v>2.4113689084445111E-2</v>
      </c>
      <c r="F192" s="149">
        <f>AVERAGE(F190:F191)</f>
        <v>2.4113689084445111E-2</v>
      </c>
      <c r="G192" s="149">
        <f>AVERAGE(G190:G191)</f>
        <v>2.4113689084445111E-2</v>
      </c>
      <c r="H192" s="68">
        <f>(1+D192)^1*(1+E192)^1*(1+F192)^1*(1+G192)^1-1</f>
        <v>9.9999999999999867E-2</v>
      </c>
      <c r="I192" s="149">
        <f>AVERAGE(I190:I191)</f>
        <v>2.4113689084445111E-2</v>
      </c>
      <c r="J192" s="149">
        <f>AVERAGE(J190:J191)</f>
        <v>2.4113689084445111E-2</v>
      </c>
      <c r="K192" s="149">
        <f>AVERAGE(K190:K191)</f>
        <v>2.4113689084445111E-2</v>
      </c>
      <c r="L192" s="149">
        <f>AVERAGE(L190:L191)</f>
        <v>2.4113689084445111E-2</v>
      </c>
      <c r="M192" s="68">
        <f>(1+I192)^1*(1+J192)^1*(1+K192)^1*(1+L192)^1-1</f>
        <v>9.9999999999999867E-2</v>
      </c>
    </row>
    <row r="193" spans="1:13" ht="12.75" customHeight="1" x14ac:dyDescent="0.2">
      <c r="A193" s="117" t="str">
        <f>Labels!B183</f>
        <v>Canoes</v>
      </c>
      <c r="B193" s="149"/>
      <c r="C193" s="68"/>
      <c r="D193" s="149"/>
      <c r="E193" s="149"/>
      <c r="F193" s="149"/>
      <c r="G193" s="149"/>
      <c r="H193" s="68"/>
      <c r="I193" s="149"/>
      <c r="J193" s="149"/>
      <c r="K193" s="149"/>
      <c r="L193" s="149"/>
      <c r="M193" s="68"/>
    </row>
    <row r="194" spans="1:13" ht="12.75" customHeight="1" x14ac:dyDescent="0.2">
      <c r="A194" s="114" t="str">
        <f>"   "&amp;Labels!B170</f>
        <v xml:space="preserve">   Invest 1</v>
      </c>
      <c r="B194" s="148">
        <f>(1+Inputs!E163)^(1/4)-1</f>
        <v>2.4113689084445111E-2</v>
      </c>
      <c r="C194" s="68">
        <f t="shared" ref="C194:C199" si="26">(1+B194)^1-1</f>
        <v>2.4113689084445111E-2</v>
      </c>
      <c r="D194" s="148">
        <f>(1+Inputs!G163)^(1/4)-1</f>
        <v>2.4113689084445111E-2</v>
      </c>
      <c r="E194" s="148">
        <f>(1+Inputs!H163)^(1/4)-1</f>
        <v>2.4113689084445111E-2</v>
      </c>
      <c r="F194" s="148">
        <f>(1+Inputs!I163)^(1/4)-1</f>
        <v>2.4113689084445111E-2</v>
      </c>
      <c r="G194" s="148">
        <f>(1+Inputs!J163)^(1/4)-1</f>
        <v>2.4113689084445111E-2</v>
      </c>
      <c r="H194" s="68">
        <f t="shared" ref="H194:H199" si="27">(1+D194)^1*(1+E194)^1*(1+F194)^1*(1+G194)^1-1</f>
        <v>9.9999999999999867E-2</v>
      </c>
      <c r="I194" s="148">
        <f>(1+Inputs!L163)^(1/4)-1</f>
        <v>2.4113689084445111E-2</v>
      </c>
      <c r="J194" s="148">
        <f>(1+Inputs!M163)^(1/4)-1</f>
        <v>2.4113689084445111E-2</v>
      </c>
      <c r="K194" s="148">
        <f>(1+Inputs!N163)^(1/4)-1</f>
        <v>2.4113689084445111E-2</v>
      </c>
      <c r="L194" s="148">
        <f>(1+Inputs!O163)^(1/4)-1</f>
        <v>2.4113689084445111E-2</v>
      </c>
      <c r="M194" s="68">
        <f t="shared" ref="M194:M199" si="28">(1+I194)^1*(1+J194)^1*(1+K194)^1*(1+L194)^1-1</f>
        <v>9.9999999999999867E-2</v>
      </c>
    </row>
    <row r="195" spans="1:13" ht="12.75" customHeight="1" x14ac:dyDescent="0.2">
      <c r="A195" s="114" t="str">
        <f>"   "&amp;Labels!B171</f>
        <v xml:space="preserve">   Invest 2</v>
      </c>
      <c r="B195" s="148">
        <f>(1+Inputs!E164)^(1/4)-1</f>
        <v>2.4113689084445111E-2</v>
      </c>
      <c r="C195" s="68">
        <f t="shared" si="26"/>
        <v>2.4113689084445111E-2</v>
      </c>
      <c r="D195" s="148">
        <f>(1+Inputs!G164)^(1/4)-1</f>
        <v>2.4113689084445111E-2</v>
      </c>
      <c r="E195" s="148">
        <f>(1+Inputs!H164)^(1/4)-1</f>
        <v>2.4113689084445111E-2</v>
      </c>
      <c r="F195" s="148">
        <f>(1+Inputs!I164)^(1/4)-1</f>
        <v>2.4113689084445111E-2</v>
      </c>
      <c r="G195" s="148">
        <f>(1+Inputs!J164)^(1/4)-1</f>
        <v>2.4113689084445111E-2</v>
      </c>
      <c r="H195" s="68">
        <f t="shared" si="27"/>
        <v>9.9999999999999867E-2</v>
      </c>
      <c r="I195" s="148">
        <f>(1+Inputs!L164)^(1/4)-1</f>
        <v>2.4113689084445111E-2</v>
      </c>
      <c r="J195" s="148">
        <f>(1+Inputs!M164)^(1/4)-1</f>
        <v>2.4113689084445111E-2</v>
      </c>
      <c r="K195" s="148">
        <f>(1+Inputs!N164)^(1/4)-1</f>
        <v>2.4113689084445111E-2</v>
      </c>
      <c r="L195" s="148">
        <f>(1+Inputs!O164)^(1/4)-1</f>
        <v>2.4113689084445111E-2</v>
      </c>
      <c r="M195" s="68">
        <f t="shared" si="28"/>
        <v>9.9999999999999867E-2</v>
      </c>
    </row>
    <row r="196" spans="1:13" ht="12.75" customHeight="1" x14ac:dyDescent="0.2">
      <c r="A196" s="117" t="str">
        <f>"   "&amp;Labels!C169</f>
        <v xml:space="preserve">   Total</v>
      </c>
      <c r="B196" s="149">
        <f>AVERAGE(B194:B195)</f>
        <v>2.4113689084445111E-2</v>
      </c>
      <c r="C196" s="68">
        <f t="shared" si="26"/>
        <v>2.4113689084445111E-2</v>
      </c>
      <c r="D196" s="149">
        <f>AVERAGE(D194:D195)</f>
        <v>2.4113689084445111E-2</v>
      </c>
      <c r="E196" s="149">
        <f>AVERAGE(E194:E195)</f>
        <v>2.4113689084445111E-2</v>
      </c>
      <c r="F196" s="149">
        <f>AVERAGE(F194:F195)</f>
        <v>2.4113689084445111E-2</v>
      </c>
      <c r="G196" s="149">
        <f>AVERAGE(G194:G195)</f>
        <v>2.4113689084445111E-2</v>
      </c>
      <c r="H196" s="68">
        <f t="shared" si="27"/>
        <v>9.9999999999999867E-2</v>
      </c>
      <c r="I196" s="149">
        <f>AVERAGE(I194:I195)</f>
        <v>2.4113689084445111E-2</v>
      </c>
      <c r="J196" s="149">
        <f>AVERAGE(J194:J195)</f>
        <v>2.4113689084445111E-2</v>
      </c>
      <c r="K196" s="149">
        <f>AVERAGE(K194:K195)</f>
        <v>2.4113689084445111E-2</v>
      </c>
      <c r="L196" s="149">
        <f>AVERAGE(L194:L195)</f>
        <v>2.4113689084445111E-2</v>
      </c>
      <c r="M196" s="68">
        <f t="shared" si="28"/>
        <v>9.9999999999999867E-2</v>
      </c>
    </row>
    <row r="197" spans="1:13" ht="12.75" customHeight="1" x14ac:dyDescent="0.2">
      <c r="A197" s="12" t="str">
        <f>Labels!C181</f>
        <v>Total</v>
      </c>
      <c r="B197" s="168">
        <f>AVERAGE(B192,B196)</f>
        <v>2.4113689084445111E-2</v>
      </c>
      <c r="C197" s="83">
        <f t="shared" si="26"/>
        <v>2.4113689084445111E-2</v>
      </c>
      <c r="D197" s="168">
        <f>AVERAGE(D192,D196)</f>
        <v>2.4113689084445111E-2</v>
      </c>
      <c r="E197" s="168">
        <f>AVERAGE(E192,E196)</f>
        <v>2.4113689084445111E-2</v>
      </c>
      <c r="F197" s="168">
        <f>AVERAGE(F192,F196)</f>
        <v>2.4113689084445111E-2</v>
      </c>
      <c r="G197" s="168">
        <f>AVERAGE(G192,G196)</f>
        <v>2.4113689084445111E-2</v>
      </c>
      <c r="H197" s="83">
        <f t="shared" si="27"/>
        <v>9.9999999999999867E-2</v>
      </c>
      <c r="I197" s="168">
        <f>AVERAGE(I192,I196)</f>
        <v>2.4113689084445111E-2</v>
      </c>
      <c r="J197" s="168">
        <f>AVERAGE(J192,J196)</f>
        <v>2.4113689084445111E-2</v>
      </c>
      <c r="K197" s="168">
        <f>AVERAGE(K192,K196)</f>
        <v>2.4113689084445111E-2</v>
      </c>
      <c r="L197" s="168">
        <f>AVERAGE(L192,L196)</f>
        <v>2.4113689084445111E-2</v>
      </c>
      <c r="M197" s="83">
        <f t="shared" si="28"/>
        <v>9.9999999999999867E-2</v>
      </c>
    </row>
    <row r="198" spans="1:13" ht="12.75" customHeight="1" x14ac:dyDescent="0.2">
      <c r="A198" s="114" t="str">
        <f>"   "&amp;Labels!B170</f>
        <v xml:space="preserve">   Invest 1</v>
      </c>
      <c r="B198" s="148">
        <f>AVERAGE(B190,B194)</f>
        <v>2.4113689084445111E-2</v>
      </c>
      <c r="C198" s="68">
        <f t="shared" si="26"/>
        <v>2.4113689084445111E-2</v>
      </c>
      <c r="D198" s="148">
        <f t="shared" ref="D198:G200" si="29">AVERAGE(D190,D194)</f>
        <v>2.4113689084445111E-2</v>
      </c>
      <c r="E198" s="148">
        <f t="shared" si="29"/>
        <v>2.4113689084445111E-2</v>
      </c>
      <c r="F198" s="148">
        <f t="shared" si="29"/>
        <v>2.4113689084445111E-2</v>
      </c>
      <c r="G198" s="148">
        <f t="shared" si="29"/>
        <v>2.4113689084445111E-2</v>
      </c>
      <c r="H198" s="68">
        <f t="shared" si="27"/>
        <v>9.9999999999999867E-2</v>
      </c>
      <c r="I198" s="148">
        <f t="shared" ref="I198:L200" si="30">AVERAGE(I190,I194)</f>
        <v>2.4113689084445111E-2</v>
      </c>
      <c r="J198" s="148">
        <f t="shared" si="30"/>
        <v>2.4113689084445111E-2</v>
      </c>
      <c r="K198" s="148">
        <f t="shared" si="30"/>
        <v>2.4113689084445111E-2</v>
      </c>
      <c r="L198" s="148">
        <f t="shared" si="30"/>
        <v>2.4113689084445111E-2</v>
      </c>
      <c r="M198" s="68">
        <f t="shared" si="28"/>
        <v>9.9999999999999867E-2</v>
      </c>
    </row>
    <row r="199" spans="1:13" ht="12.75" customHeight="1" x14ac:dyDescent="0.2">
      <c r="A199" s="114" t="str">
        <f>"   "&amp;Labels!B171</f>
        <v xml:space="preserve">   Invest 2</v>
      </c>
      <c r="B199" s="148">
        <f>AVERAGE(B191,B195)</f>
        <v>2.4113689084445111E-2</v>
      </c>
      <c r="C199" s="68">
        <f t="shared" si="26"/>
        <v>2.4113689084445111E-2</v>
      </c>
      <c r="D199" s="148">
        <f t="shared" si="29"/>
        <v>2.4113689084445111E-2</v>
      </c>
      <c r="E199" s="148">
        <f t="shared" si="29"/>
        <v>2.4113689084445111E-2</v>
      </c>
      <c r="F199" s="148">
        <f t="shared" si="29"/>
        <v>2.4113689084445111E-2</v>
      </c>
      <c r="G199" s="148">
        <f t="shared" si="29"/>
        <v>2.4113689084445111E-2</v>
      </c>
      <c r="H199" s="68">
        <f t="shared" si="27"/>
        <v>9.9999999999999867E-2</v>
      </c>
      <c r="I199" s="148">
        <f t="shared" si="30"/>
        <v>2.4113689084445111E-2</v>
      </c>
      <c r="J199" s="148">
        <f t="shared" si="30"/>
        <v>2.4113689084445111E-2</v>
      </c>
      <c r="K199" s="148">
        <f t="shared" si="30"/>
        <v>2.4113689084445111E-2</v>
      </c>
      <c r="L199" s="148">
        <f t="shared" si="30"/>
        <v>2.4113689084445111E-2</v>
      </c>
      <c r="M199" s="68">
        <f t="shared" si="28"/>
        <v>9.9999999999999867E-2</v>
      </c>
    </row>
    <row r="200" spans="1:13" ht="12.75" customHeight="1" x14ac:dyDescent="0.2">
      <c r="A200" s="121" t="str">
        <f>"   "&amp;Labels!C169</f>
        <v xml:space="preserve">   Total</v>
      </c>
      <c r="B200" s="166">
        <f>AVERAGE(B192,B196)</f>
        <v>2.4113689084445111E-2</v>
      </c>
      <c r="C200" s="87">
        <f>(1+B197)^1-1</f>
        <v>2.4113689084445111E-2</v>
      </c>
      <c r="D200" s="166">
        <f t="shared" si="29"/>
        <v>2.4113689084445111E-2</v>
      </c>
      <c r="E200" s="166">
        <f t="shared" si="29"/>
        <v>2.4113689084445111E-2</v>
      </c>
      <c r="F200" s="166">
        <f t="shared" si="29"/>
        <v>2.4113689084445111E-2</v>
      </c>
      <c r="G200" s="166">
        <f t="shared" si="29"/>
        <v>2.4113689084445111E-2</v>
      </c>
      <c r="H200" s="87">
        <f>(1+D197)^1*(1+E197)^1*(1+F197)^1*(1+G197)^1-1</f>
        <v>9.9999999999999867E-2</v>
      </c>
      <c r="I200" s="166">
        <f t="shared" si="30"/>
        <v>2.4113689084445111E-2</v>
      </c>
      <c r="J200" s="166">
        <f t="shared" si="30"/>
        <v>2.4113689084445111E-2</v>
      </c>
      <c r="K200" s="166">
        <f t="shared" si="30"/>
        <v>2.4113689084445111E-2</v>
      </c>
      <c r="L200" s="166">
        <f t="shared" si="30"/>
        <v>2.4113689084445111E-2</v>
      </c>
      <c r="M200" s="87">
        <f>(1+I197)^1*(1+J197)^1*(1+K197)^1*(1+L197)^1-1</f>
        <v>9.9999999999999867E-2</v>
      </c>
    </row>
    <row r="201" spans="1:13" ht="12.75" customHeight="1" x14ac:dyDescent="0.2">
      <c r="A201" s="1" t="str">
        <f>Labels!B88</f>
        <v>Leasing Rate</v>
      </c>
    </row>
    <row r="202" spans="1:13" ht="12.75" customHeight="1" x14ac:dyDescent="0.2">
      <c r="B202" s="17" t="str">
        <f>'(FnCalls 1)'!G6</f>
        <v>Q4 2010</v>
      </c>
      <c r="C202" s="62" t="str">
        <f>'(FnCalls 1)'!H4</f>
        <v>2010</v>
      </c>
      <c r="D202" s="18" t="str">
        <f>'(FnCalls 1)'!G7</f>
        <v>Q1 2011</v>
      </c>
      <c r="E202" s="18" t="str">
        <f>'(FnCalls 1)'!G8</f>
        <v>Q2 2011</v>
      </c>
      <c r="F202" s="18" t="str">
        <f>'(FnCalls 1)'!G9</f>
        <v>Q3 2011</v>
      </c>
      <c r="G202" s="18" t="str">
        <f>'(FnCalls 1)'!G10</f>
        <v>Q4 2011</v>
      </c>
      <c r="H202" s="62" t="str">
        <f>'(FnCalls 1)'!H7</f>
        <v>2011</v>
      </c>
      <c r="I202" s="18" t="str">
        <f>'(FnCalls 1)'!G11</f>
        <v>Q1 2012</v>
      </c>
      <c r="J202" s="18" t="str">
        <f>'(FnCalls 1)'!G12</f>
        <v>Q2 2012</v>
      </c>
      <c r="K202" s="18" t="str">
        <f>'(FnCalls 1)'!G13</f>
        <v>Q3 2012</v>
      </c>
      <c r="L202" s="18" t="str">
        <f>'(FnCalls 1)'!G14</f>
        <v>Q4 2012</v>
      </c>
      <c r="M202" s="62" t="str">
        <f>'(FnCalls 1)'!H11</f>
        <v>2012</v>
      </c>
    </row>
    <row r="203" spans="1:13" ht="12.75" customHeight="1" x14ac:dyDescent="0.2">
      <c r="A203" s="111" t="str">
        <f>Labels!B170</f>
        <v>Invest 1</v>
      </c>
      <c r="B203" s="146">
        <f>(1+B131)^(1/4)-1</f>
        <v>0</v>
      </c>
      <c r="C203" s="65">
        <f>(1+B203)^1-1</f>
        <v>0</v>
      </c>
      <c r="D203" s="146">
        <f t="shared" ref="D203:G204" si="31">(1+D131)^(1/4)-1</f>
        <v>0</v>
      </c>
      <c r="E203" s="146">
        <f t="shared" si="31"/>
        <v>0</v>
      </c>
      <c r="F203" s="146">
        <f t="shared" si="31"/>
        <v>0</v>
      </c>
      <c r="G203" s="146">
        <f t="shared" si="31"/>
        <v>0</v>
      </c>
      <c r="H203" s="65">
        <f>(1+D203)^1*(1+E203)^1*(1+F203)^1*(1+G203)^1-1</f>
        <v>0</v>
      </c>
      <c r="I203" s="146">
        <f t="shared" ref="I203:L204" si="32">(1+I131)^(1/4)-1</f>
        <v>0</v>
      </c>
      <c r="J203" s="146">
        <f t="shared" si="32"/>
        <v>0</v>
      </c>
      <c r="K203" s="146">
        <f t="shared" si="32"/>
        <v>0</v>
      </c>
      <c r="L203" s="146">
        <f t="shared" si="32"/>
        <v>0</v>
      </c>
      <c r="M203" s="65">
        <f>(1+I203)^1*(1+J203)^1*(1+K203)^1*(1+L203)^1-1</f>
        <v>0</v>
      </c>
    </row>
    <row r="204" spans="1:13" ht="12.75" customHeight="1" x14ac:dyDescent="0.2">
      <c r="A204" s="117" t="str">
        <f>Labels!B171</f>
        <v>Invest 2</v>
      </c>
      <c r="B204" s="149">
        <f>(1+B132)^(1/4)-1</f>
        <v>0</v>
      </c>
      <c r="C204" s="68">
        <f>(1+B204)^1-1</f>
        <v>0</v>
      </c>
      <c r="D204" s="149">
        <f t="shared" si="31"/>
        <v>0</v>
      </c>
      <c r="E204" s="149">
        <f t="shared" si="31"/>
        <v>0</v>
      </c>
      <c r="F204" s="149">
        <f t="shared" si="31"/>
        <v>0</v>
      </c>
      <c r="G204" s="149">
        <f t="shared" si="31"/>
        <v>0</v>
      </c>
      <c r="H204" s="68">
        <f>(1+D204)^1*(1+E204)^1*(1+F204)^1*(1+G204)^1-1</f>
        <v>0</v>
      </c>
      <c r="I204" s="149">
        <f t="shared" si="32"/>
        <v>0</v>
      </c>
      <c r="J204" s="149">
        <f t="shared" si="32"/>
        <v>0</v>
      </c>
      <c r="K204" s="149">
        <f t="shared" si="32"/>
        <v>0</v>
      </c>
      <c r="L204" s="149">
        <f t="shared" si="32"/>
        <v>0</v>
      </c>
      <c r="M204" s="68">
        <f>(1+I204)^1*(1+J204)^1*(1+K204)^1*(1+L204)^1-1</f>
        <v>0</v>
      </c>
    </row>
    <row r="205" spans="1:13" ht="12.75" customHeight="1" x14ac:dyDescent="0.2">
      <c r="A205" s="12" t="str">
        <f>Labels!C169</f>
        <v>Total</v>
      </c>
      <c r="B205" s="168">
        <f>AVERAGE(B203:B204)</f>
        <v>0</v>
      </c>
      <c r="C205" s="83">
        <f>(1+B205)^1-1</f>
        <v>0</v>
      </c>
      <c r="D205" s="168">
        <f>AVERAGE(D203:D204)</f>
        <v>0</v>
      </c>
      <c r="E205" s="168">
        <f>AVERAGE(E203:E204)</f>
        <v>0</v>
      </c>
      <c r="F205" s="168">
        <f>AVERAGE(F203:F204)</f>
        <v>0</v>
      </c>
      <c r="G205" s="168">
        <f>AVERAGE(G203:G204)</f>
        <v>0</v>
      </c>
      <c r="H205" s="83">
        <f>(1+D205)^1*(1+E205)^1*(1+F205)^1*(1+G205)^1-1</f>
        <v>0</v>
      </c>
      <c r="I205" s="168">
        <f>AVERAGE(I203:I204)</f>
        <v>0</v>
      </c>
      <c r="J205" s="168">
        <f>AVERAGE(J203:J204)</f>
        <v>0</v>
      </c>
      <c r="K205" s="168">
        <f>AVERAGE(K203:K204)</f>
        <v>0</v>
      </c>
      <c r="L205" s="168">
        <f>AVERAGE(L203:L204)</f>
        <v>0</v>
      </c>
      <c r="M205" s="83">
        <f>(1+I205)^1*(1+J205)^1*(1+K205)^1*(1+L205)^1-1</f>
        <v>0</v>
      </c>
    </row>
    <row r="206" spans="1:13" ht="12.75" customHeight="1" x14ac:dyDescent="0.2">
      <c r="A206" s="1" t="str">
        <f>Labels!B60</f>
        <v>Income Tax</v>
      </c>
    </row>
    <row r="207" spans="1:13" ht="12.75" customHeight="1" x14ac:dyDescent="0.2">
      <c r="B207" s="17" t="str">
        <f>'(FnCalls 1)'!G7</f>
        <v>Q1 2011</v>
      </c>
      <c r="C207" s="18" t="str">
        <f>'(FnCalls 1)'!G8</f>
        <v>Q2 2011</v>
      </c>
      <c r="D207" s="18" t="str">
        <f>'(FnCalls 1)'!G9</f>
        <v>Q3 2011</v>
      </c>
      <c r="E207" s="18" t="str">
        <f>'(FnCalls 1)'!G10</f>
        <v>Q4 2011</v>
      </c>
      <c r="F207" s="62" t="str">
        <f>'(FnCalls 1)'!H7</f>
        <v>2011</v>
      </c>
      <c r="G207" s="18" t="str">
        <f>'(FnCalls 1)'!G11</f>
        <v>Q1 2012</v>
      </c>
      <c r="H207" s="18" t="str">
        <f>'(FnCalls 1)'!G12</f>
        <v>Q2 2012</v>
      </c>
      <c r="I207" s="18" t="str">
        <f>'(FnCalls 1)'!G13</f>
        <v>Q3 2012</v>
      </c>
      <c r="J207" s="18" t="str">
        <f>'(FnCalls 1)'!G14</f>
        <v>Q4 2012</v>
      </c>
      <c r="K207" s="62" t="str">
        <f>'(FnCalls 1)'!H11</f>
        <v>2012</v>
      </c>
    </row>
    <row r="208" spans="1:13" ht="12.75" customHeight="1" x14ac:dyDescent="0.2">
      <c r="A208" s="111" t="str">
        <f>Labels!B182</f>
        <v>Catamarans</v>
      </c>
      <c r="B208" s="110">
        <f>MAX(0,Inputs!G108*Operations!B61+'(Compute)'!B114)</f>
        <v>0</v>
      </c>
      <c r="C208" s="110">
        <f>MAX(0,Inputs!H108*Operations!C61+'(Compute)'!C114)</f>
        <v>0</v>
      </c>
      <c r="D208" s="110">
        <f>MAX(0,Inputs!I108*Operations!D61+'(Compute)'!D114)</f>
        <v>0</v>
      </c>
      <c r="E208" s="110">
        <f>MAX(0,Inputs!J108*Operations!E61+'(Compute)'!E114)</f>
        <v>0</v>
      </c>
      <c r="F208" s="75">
        <f>SUM(B208:E208)</f>
        <v>0</v>
      </c>
      <c r="G208" s="110">
        <f>MAX(0,Inputs!L108*Operations!G61+'(Compute)'!G114)</f>
        <v>0</v>
      </c>
      <c r="H208" s="110">
        <f>MAX(0,Inputs!M108*Operations!H61+'(Compute)'!H114)</f>
        <v>0</v>
      </c>
      <c r="I208" s="110">
        <f>MAX(0,Inputs!N108*Operations!I61+'(Compute)'!I114)</f>
        <v>0</v>
      </c>
      <c r="J208" s="110">
        <f>MAX(0,Inputs!O108*Operations!J61+'(Compute)'!J114)</f>
        <v>0</v>
      </c>
      <c r="K208" s="75">
        <f>SUM(G208:J208)</f>
        <v>0</v>
      </c>
    </row>
    <row r="209" spans="1:13" ht="12.75" customHeight="1" x14ac:dyDescent="0.2">
      <c r="A209" s="117" t="str">
        <f>Labels!B183</f>
        <v>Canoes</v>
      </c>
      <c r="B209" s="120">
        <f>MAX(0,Inputs!G108*Operations!B62+'(Compute)'!B118)</f>
        <v>0</v>
      </c>
      <c r="C209" s="120">
        <f>MAX(0,Inputs!H108*Operations!C62+'(Compute)'!C118)</f>
        <v>0</v>
      </c>
      <c r="D209" s="120">
        <f>MAX(0,Inputs!I108*Operations!D62+'(Compute)'!D118)</f>
        <v>0</v>
      </c>
      <c r="E209" s="120">
        <f>MAX(0,Inputs!J108*Operations!E62+'(Compute)'!E118)</f>
        <v>0</v>
      </c>
      <c r="F209" s="69">
        <f>SUM(B209:E209)</f>
        <v>0</v>
      </c>
      <c r="G209" s="120">
        <f>MAX(0,Inputs!L108*Operations!G62+'(Compute)'!G118)</f>
        <v>0</v>
      </c>
      <c r="H209" s="120">
        <f>MAX(0,Inputs!M108*Operations!H62+'(Compute)'!H118)</f>
        <v>0</v>
      </c>
      <c r="I209" s="120">
        <f>MAX(0,Inputs!N108*Operations!I62+'(Compute)'!I118)</f>
        <v>0</v>
      </c>
      <c r="J209" s="120">
        <f>MAX(0,Inputs!O108*Operations!J62+'(Compute)'!J118)</f>
        <v>0</v>
      </c>
      <c r="K209" s="69">
        <f>SUM(G209:J209)</f>
        <v>0</v>
      </c>
    </row>
    <row r="210" spans="1:13" ht="12.75" customHeight="1" x14ac:dyDescent="0.2">
      <c r="A210" s="12" t="str">
        <f>Labels!C181</f>
        <v>Total</v>
      </c>
      <c r="B210" s="107">
        <f>SUM(B208:B209)</f>
        <v>0</v>
      </c>
      <c r="C210" s="107">
        <f>SUM(C208:C209)</f>
        <v>0</v>
      </c>
      <c r="D210" s="107">
        <f>SUM(D208:D209)</f>
        <v>0</v>
      </c>
      <c r="E210" s="107">
        <f>SUM(E208:E209)</f>
        <v>0</v>
      </c>
      <c r="F210" s="108">
        <f>SUM(B210:E210)</f>
        <v>0</v>
      </c>
      <c r="G210" s="107">
        <f>SUM(G208:G209)</f>
        <v>0</v>
      </c>
      <c r="H210" s="107">
        <f>SUM(H208:H209)</f>
        <v>0</v>
      </c>
      <c r="I210" s="107">
        <f>SUM(I208:I209)</f>
        <v>0</v>
      </c>
      <c r="J210" s="107">
        <f>SUM(J208:J209)</f>
        <v>0</v>
      </c>
      <c r="K210" s="108">
        <f>SUM(G210:J210)</f>
        <v>0</v>
      </c>
    </row>
    <row r="211" spans="1:13" ht="12.75" customHeight="1" x14ac:dyDescent="0.2">
      <c r="A211" s="1" t="str">
        <f>Labels!B18</f>
        <v>IInvestment Tax Credit</v>
      </c>
    </row>
    <row r="212" spans="1:13" ht="12.75" customHeight="1" x14ac:dyDescent="0.2">
      <c r="B212" s="17" t="str">
        <f>'(FnCalls 1)'!G6</f>
        <v>Q4 2010</v>
      </c>
      <c r="C212" s="62" t="str">
        <f>'(FnCalls 1)'!H4</f>
        <v>2010</v>
      </c>
      <c r="D212" s="18" t="str">
        <f>'(FnCalls 1)'!G7</f>
        <v>Q1 2011</v>
      </c>
      <c r="E212" s="18" t="str">
        <f>'(FnCalls 1)'!G8</f>
        <v>Q2 2011</v>
      </c>
      <c r="F212" s="18" t="str">
        <f>'(FnCalls 1)'!G9</f>
        <v>Q3 2011</v>
      </c>
      <c r="G212" s="18" t="str">
        <f>'(FnCalls 1)'!G10</f>
        <v>Q4 2011</v>
      </c>
      <c r="H212" s="62" t="str">
        <f>'(FnCalls 1)'!H7</f>
        <v>2011</v>
      </c>
      <c r="I212" s="18" t="str">
        <f>'(FnCalls 1)'!G11</f>
        <v>Q1 2012</v>
      </c>
      <c r="J212" s="18" t="str">
        <f>'(FnCalls 1)'!G12</f>
        <v>Q2 2012</v>
      </c>
      <c r="K212" s="18" t="str">
        <f>'(FnCalls 1)'!G13</f>
        <v>Q3 2012</v>
      </c>
      <c r="L212" s="18" t="str">
        <f>'(FnCalls 1)'!G14</f>
        <v>Q4 2012</v>
      </c>
      <c r="M212" s="62" t="str">
        <f>'(FnCalls 1)'!H11</f>
        <v>2012</v>
      </c>
    </row>
    <row r="213" spans="1:13" ht="12.75" customHeight="1" x14ac:dyDescent="0.2">
      <c r="A213" s="111" t="str">
        <f>Labels!B182</f>
        <v>Catamarans</v>
      </c>
      <c r="B213" s="110"/>
      <c r="C213" s="75"/>
      <c r="D213" s="110"/>
      <c r="E213" s="110"/>
      <c r="F213" s="110"/>
      <c r="G213" s="110"/>
      <c r="H213" s="75"/>
      <c r="I213" s="110"/>
      <c r="J213" s="110"/>
      <c r="K213" s="110"/>
      <c r="L213" s="110"/>
      <c r="M213" s="75"/>
    </row>
    <row r="214" spans="1:13" ht="12.75" customHeight="1" x14ac:dyDescent="0.2">
      <c r="A214" s="114" t="str">
        <f>"   "&amp;Labels!B170</f>
        <v xml:space="preserve">   Invest 1</v>
      </c>
      <c r="B214" s="116">
        <f>IF(OR(Inputs!L17-'(FnCalls 1)'!A6&lt;0,Inputs!L17-('(FnCalls 1)'!A7-1)&gt;0),0,B227)</f>
        <v>0</v>
      </c>
      <c r="C214" s="69">
        <f>B214</f>
        <v>0</v>
      </c>
      <c r="D214" s="116">
        <f>IF(OR(Inputs!L17-'(FnCalls 1)'!A7&lt;0,Inputs!L17-('(FnCalls 1)'!A8-1)&gt;0),0,B227)</f>
        <v>0</v>
      </c>
      <c r="E214" s="116">
        <f>IF(OR(Inputs!L17-'(FnCalls 1)'!A8&lt;0,Inputs!L17-('(FnCalls 1)'!A9-1)&gt;0),0,B227)</f>
        <v>0</v>
      </c>
      <c r="F214" s="116">
        <f>IF(OR(Inputs!L17-'(FnCalls 1)'!A9&lt;0,Inputs!L17-('(FnCalls 1)'!A10-1)&gt;0),0,B227)</f>
        <v>0</v>
      </c>
      <c r="G214" s="116">
        <f>IF(OR(Inputs!L17-'(FnCalls 1)'!A10&lt;0,Inputs!L17-('(FnCalls 1)'!A11-1)&gt;0),0,B227)</f>
        <v>0</v>
      </c>
      <c r="H214" s="69">
        <f>SUM(D214:G214)</f>
        <v>0</v>
      </c>
      <c r="I214" s="116">
        <f>IF(OR(Inputs!L17-'(FnCalls 1)'!A11&lt;0,Inputs!L17-('(FnCalls 1)'!A12-1)&gt;0),0,B227)</f>
        <v>0</v>
      </c>
      <c r="J214" s="116">
        <f>IF(OR(Inputs!L17-'(FnCalls 1)'!A12&lt;0,Inputs!L17-('(FnCalls 1)'!A13-1)&gt;0),0,B227)</f>
        <v>0</v>
      </c>
      <c r="K214" s="116">
        <f>IF(OR(Inputs!L17-'(FnCalls 1)'!A13&lt;0,Inputs!L17-('(FnCalls 1)'!A14-1)&gt;0),0,B227)</f>
        <v>0</v>
      </c>
      <c r="L214" s="116">
        <f>IF(OR(Inputs!L17-'(FnCalls 1)'!A14&lt;0,Inputs!L17-('(FnCalls 1)'!A15-1)&gt;0),0,B227)</f>
        <v>0</v>
      </c>
      <c r="M214" s="69">
        <f>SUM(I214:L214)</f>
        <v>0</v>
      </c>
    </row>
    <row r="215" spans="1:13" ht="12.75" customHeight="1" x14ac:dyDescent="0.2">
      <c r="A215" s="114" t="str">
        <f>"   "&amp;Labels!B171</f>
        <v xml:space="preserve">   Invest 2</v>
      </c>
      <c r="B215" s="116">
        <f>IF(OR(Inputs!L18-'(FnCalls 1)'!A6&lt;0,Inputs!L18-('(FnCalls 1)'!A7-1)&gt;0),0,B228)</f>
        <v>0</v>
      </c>
      <c r="C215" s="69">
        <f>B215</f>
        <v>0</v>
      </c>
      <c r="D215" s="116">
        <f>IF(OR(Inputs!L18-'(FnCalls 1)'!A7&lt;0,Inputs!L18-('(FnCalls 1)'!A8-1)&gt;0),0,B228)</f>
        <v>0</v>
      </c>
      <c r="E215" s="116">
        <f>IF(OR(Inputs!L18-'(FnCalls 1)'!A8&lt;0,Inputs!L18-('(FnCalls 1)'!A9-1)&gt;0),0,B228)</f>
        <v>0</v>
      </c>
      <c r="F215" s="116">
        <f>IF(OR(Inputs!L18-'(FnCalls 1)'!A9&lt;0,Inputs!L18-('(FnCalls 1)'!A10-1)&gt;0),0,B228)</f>
        <v>0</v>
      </c>
      <c r="G215" s="116">
        <f>IF(OR(Inputs!L18-'(FnCalls 1)'!A10&lt;0,Inputs!L18-('(FnCalls 1)'!A11-1)&gt;0),0,B228)</f>
        <v>0</v>
      </c>
      <c r="H215" s="69">
        <f>SUM(D215:G215)</f>
        <v>0</v>
      </c>
      <c r="I215" s="116">
        <f>IF(OR(Inputs!L18-'(FnCalls 1)'!A11&lt;0,Inputs!L18-('(FnCalls 1)'!A12-1)&gt;0),0,B228)</f>
        <v>0</v>
      </c>
      <c r="J215" s="116">
        <f>IF(OR(Inputs!L18-'(FnCalls 1)'!A12&lt;0,Inputs!L18-('(FnCalls 1)'!A13-1)&gt;0),0,B228)</f>
        <v>0</v>
      </c>
      <c r="K215" s="116">
        <f>IF(OR(Inputs!L18-'(FnCalls 1)'!A13&lt;0,Inputs!L18-('(FnCalls 1)'!A14-1)&gt;0),0,B228)</f>
        <v>0</v>
      </c>
      <c r="L215" s="116">
        <f>IF(OR(Inputs!L18-'(FnCalls 1)'!A14&lt;0,Inputs!L18-('(FnCalls 1)'!A15-1)&gt;0),0,B228)</f>
        <v>0</v>
      </c>
      <c r="M215" s="69">
        <f>SUM(I215:L215)</f>
        <v>0</v>
      </c>
    </row>
    <row r="216" spans="1:13" ht="12.75" customHeight="1" x14ac:dyDescent="0.2">
      <c r="A216" s="117" t="str">
        <f>"   "&amp;Labels!C169</f>
        <v xml:space="preserve">   Total</v>
      </c>
      <c r="B216" s="120">
        <f>SUM(B214:B215)</f>
        <v>0</v>
      </c>
      <c r="C216" s="69">
        <f>SUM(B214:B215)</f>
        <v>0</v>
      </c>
      <c r="D216" s="120">
        <f>SUM(D214:D215)</f>
        <v>0</v>
      </c>
      <c r="E216" s="120">
        <f>SUM(E214:E215)</f>
        <v>0</v>
      </c>
      <c r="F216" s="120">
        <f>SUM(F214:F215)</f>
        <v>0</v>
      </c>
      <c r="G216" s="120">
        <f>SUM(G214:G215)</f>
        <v>0</v>
      </c>
      <c r="H216" s="69">
        <f>SUM(D216:G216)</f>
        <v>0</v>
      </c>
      <c r="I216" s="120">
        <f>SUM(I214:I215)</f>
        <v>0</v>
      </c>
      <c r="J216" s="120">
        <f>SUM(J214:J215)</f>
        <v>0</v>
      </c>
      <c r="K216" s="120">
        <f>SUM(K214:K215)</f>
        <v>0</v>
      </c>
      <c r="L216" s="120">
        <f>SUM(L214:L215)</f>
        <v>0</v>
      </c>
      <c r="M216" s="69">
        <f>SUM(I216:L216)</f>
        <v>0</v>
      </c>
    </row>
    <row r="217" spans="1:13" ht="12.75" customHeight="1" x14ac:dyDescent="0.2">
      <c r="A217" s="117" t="str">
        <f>Labels!B183</f>
        <v>Canoes</v>
      </c>
      <c r="B217" s="120"/>
      <c r="C217" s="69"/>
      <c r="D217" s="120"/>
      <c r="E217" s="120"/>
      <c r="F217" s="120"/>
      <c r="G217" s="120"/>
      <c r="H217" s="69"/>
      <c r="I217" s="120"/>
      <c r="J217" s="120"/>
      <c r="K217" s="120"/>
      <c r="L217" s="120"/>
      <c r="M217" s="69"/>
    </row>
    <row r="218" spans="1:13" ht="12.75" customHeight="1" x14ac:dyDescent="0.2">
      <c r="A218" s="114" t="str">
        <f>"   "&amp;Labels!B170</f>
        <v xml:space="preserve">   Invest 1</v>
      </c>
      <c r="B218" s="116">
        <f>IF(OR(Inputs!L19-'(FnCalls 1)'!A6&lt;0,Inputs!L19-('(FnCalls 1)'!A7-1)&gt;0),0,C227)</f>
        <v>0</v>
      </c>
      <c r="C218" s="69">
        <f>B218</f>
        <v>0</v>
      </c>
      <c r="D218" s="116">
        <f>IF(OR(Inputs!L19-'(FnCalls 1)'!A7&lt;0,Inputs!L19-('(FnCalls 1)'!A8-1)&gt;0),0,C227)</f>
        <v>0</v>
      </c>
      <c r="E218" s="116">
        <f>IF(OR(Inputs!L19-'(FnCalls 1)'!A8&lt;0,Inputs!L19-('(FnCalls 1)'!A9-1)&gt;0),0,C227)</f>
        <v>0</v>
      </c>
      <c r="F218" s="116">
        <f>IF(OR(Inputs!L19-'(FnCalls 1)'!A9&lt;0,Inputs!L19-('(FnCalls 1)'!A10-1)&gt;0),0,C227)</f>
        <v>0</v>
      </c>
      <c r="G218" s="116">
        <f>IF(OR(Inputs!L19-'(FnCalls 1)'!A10&lt;0,Inputs!L19-('(FnCalls 1)'!A11-1)&gt;0),0,C227)</f>
        <v>0</v>
      </c>
      <c r="H218" s="69">
        <f t="shared" ref="H218:H223" si="33">SUM(D218:G218)</f>
        <v>0</v>
      </c>
      <c r="I218" s="116">
        <f>IF(OR(Inputs!L19-'(FnCalls 1)'!A11&lt;0,Inputs!L19-('(FnCalls 1)'!A12-1)&gt;0),0,C227)</f>
        <v>0</v>
      </c>
      <c r="J218" s="116">
        <f>IF(OR(Inputs!L19-'(FnCalls 1)'!A12&lt;0,Inputs!L19-('(FnCalls 1)'!A13-1)&gt;0),0,C227)</f>
        <v>0</v>
      </c>
      <c r="K218" s="116">
        <f>IF(OR(Inputs!L19-'(FnCalls 1)'!A13&lt;0,Inputs!L19-('(FnCalls 1)'!A14-1)&gt;0),0,C227)</f>
        <v>0</v>
      </c>
      <c r="L218" s="116">
        <f>IF(OR(Inputs!L19-'(FnCalls 1)'!A14&lt;0,Inputs!L19-('(FnCalls 1)'!A15-1)&gt;0),0,C227)</f>
        <v>0</v>
      </c>
      <c r="M218" s="69">
        <f t="shared" ref="M218:M223" si="34">SUM(I218:L218)</f>
        <v>0</v>
      </c>
    </row>
    <row r="219" spans="1:13" ht="12.75" customHeight="1" x14ac:dyDescent="0.2">
      <c r="A219" s="114" t="str">
        <f>"   "&amp;Labels!B171</f>
        <v xml:space="preserve">   Invest 2</v>
      </c>
      <c r="B219" s="116">
        <f>IF(OR(Inputs!L20-'(FnCalls 1)'!A6&lt;0,Inputs!L20-('(FnCalls 1)'!A7-1)&gt;0),0,C228)</f>
        <v>0</v>
      </c>
      <c r="C219" s="69">
        <f>B219</f>
        <v>0</v>
      </c>
      <c r="D219" s="116">
        <f>IF(OR(Inputs!L20-'(FnCalls 1)'!A7&lt;0,Inputs!L20-('(FnCalls 1)'!A8-1)&gt;0),0,C228)</f>
        <v>0</v>
      </c>
      <c r="E219" s="116">
        <f>IF(OR(Inputs!L20-'(FnCalls 1)'!A8&lt;0,Inputs!L20-('(FnCalls 1)'!A9-1)&gt;0),0,C228)</f>
        <v>0</v>
      </c>
      <c r="F219" s="116">
        <f>IF(OR(Inputs!L20-'(FnCalls 1)'!A9&lt;0,Inputs!L20-('(FnCalls 1)'!A10-1)&gt;0),0,C228)</f>
        <v>0</v>
      </c>
      <c r="G219" s="116">
        <f>IF(OR(Inputs!L20-'(FnCalls 1)'!A10&lt;0,Inputs!L20-('(FnCalls 1)'!A11-1)&gt;0),0,C228)</f>
        <v>0</v>
      </c>
      <c r="H219" s="69">
        <f t="shared" si="33"/>
        <v>0</v>
      </c>
      <c r="I219" s="116">
        <f>IF(OR(Inputs!L20-'(FnCalls 1)'!A11&lt;0,Inputs!L20-('(FnCalls 1)'!A12-1)&gt;0),0,C228)</f>
        <v>0</v>
      </c>
      <c r="J219" s="116">
        <f>IF(OR(Inputs!L20-'(FnCalls 1)'!A12&lt;0,Inputs!L20-('(FnCalls 1)'!A13-1)&gt;0),0,C228)</f>
        <v>0</v>
      </c>
      <c r="K219" s="116">
        <f>IF(OR(Inputs!L20-'(FnCalls 1)'!A13&lt;0,Inputs!L20-('(FnCalls 1)'!A14-1)&gt;0),0,C228)</f>
        <v>0</v>
      </c>
      <c r="L219" s="116">
        <f>IF(OR(Inputs!L20-'(FnCalls 1)'!A14&lt;0,Inputs!L20-('(FnCalls 1)'!A15-1)&gt;0),0,C228)</f>
        <v>0</v>
      </c>
      <c r="M219" s="69">
        <f t="shared" si="34"/>
        <v>0</v>
      </c>
    </row>
    <row r="220" spans="1:13" ht="12.75" customHeight="1" x14ac:dyDescent="0.2">
      <c r="A220" s="117" t="str">
        <f>"   "&amp;Labels!C169</f>
        <v xml:space="preserve">   Total</v>
      </c>
      <c r="B220" s="120">
        <f>SUM(B218:B219)</f>
        <v>0</v>
      </c>
      <c r="C220" s="69">
        <f>SUM(B218:B219)</f>
        <v>0</v>
      </c>
      <c r="D220" s="120">
        <f>SUM(D218:D219)</f>
        <v>0</v>
      </c>
      <c r="E220" s="120">
        <f>SUM(E218:E219)</f>
        <v>0</v>
      </c>
      <c r="F220" s="120">
        <f>SUM(F218:F219)</f>
        <v>0</v>
      </c>
      <c r="G220" s="120">
        <f>SUM(G218:G219)</f>
        <v>0</v>
      </c>
      <c r="H220" s="69">
        <f t="shared" si="33"/>
        <v>0</v>
      </c>
      <c r="I220" s="120">
        <f>SUM(I218:I219)</f>
        <v>0</v>
      </c>
      <c r="J220" s="120">
        <f>SUM(J218:J219)</f>
        <v>0</v>
      </c>
      <c r="K220" s="120">
        <f>SUM(K218:K219)</f>
        <v>0</v>
      </c>
      <c r="L220" s="120">
        <f>SUM(L218:L219)</f>
        <v>0</v>
      </c>
      <c r="M220" s="69">
        <f t="shared" si="34"/>
        <v>0</v>
      </c>
    </row>
    <row r="221" spans="1:13" ht="12.75" customHeight="1" x14ac:dyDescent="0.2">
      <c r="A221" s="12" t="str">
        <f>Labels!C181</f>
        <v>Total</v>
      </c>
      <c r="B221" s="107">
        <f>SUM(B216,B220)</f>
        <v>0</v>
      </c>
      <c r="C221" s="108">
        <f>SUM(B216,B220)</f>
        <v>0</v>
      </c>
      <c r="D221" s="107">
        <f>SUM(D216,D220)</f>
        <v>0</v>
      </c>
      <c r="E221" s="107">
        <f>SUM(E216,E220)</f>
        <v>0</v>
      </c>
      <c r="F221" s="107">
        <f>SUM(F216,F220)</f>
        <v>0</v>
      </c>
      <c r="G221" s="107">
        <f>SUM(G216,G220)</f>
        <v>0</v>
      </c>
      <c r="H221" s="108">
        <f t="shared" si="33"/>
        <v>0</v>
      </c>
      <c r="I221" s="107">
        <f>SUM(I216,I220)</f>
        <v>0</v>
      </c>
      <c r="J221" s="107">
        <f>SUM(J216,J220)</f>
        <v>0</v>
      </c>
      <c r="K221" s="107">
        <f>SUM(K216,K220)</f>
        <v>0</v>
      </c>
      <c r="L221" s="107">
        <f>SUM(L216,L220)</f>
        <v>0</v>
      </c>
      <c r="M221" s="108">
        <f t="shared" si="34"/>
        <v>0</v>
      </c>
    </row>
    <row r="222" spans="1:13" ht="12.75" customHeight="1" x14ac:dyDescent="0.2">
      <c r="A222" s="114" t="str">
        <f>"   "&amp;Labels!B170</f>
        <v xml:space="preserve">   Invest 1</v>
      </c>
      <c r="B222" s="116">
        <f>SUM(B214,B218)</f>
        <v>0</v>
      </c>
      <c r="C222" s="69">
        <f>SUM(B214,B218)</f>
        <v>0</v>
      </c>
      <c r="D222" s="116">
        <f t="shared" ref="D222:G224" si="35">SUM(D214,D218)</f>
        <v>0</v>
      </c>
      <c r="E222" s="116">
        <f t="shared" si="35"/>
        <v>0</v>
      </c>
      <c r="F222" s="116">
        <f t="shared" si="35"/>
        <v>0</v>
      </c>
      <c r="G222" s="116">
        <f t="shared" si="35"/>
        <v>0</v>
      </c>
      <c r="H222" s="69">
        <f t="shared" si="33"/>
        <v>0</v>
      </c>
      <c r="I222" s="116">
        <f t="shared" ref="I222:L224" si="36">SUM(I214,I218)</f>
        <v>0</v>
      </c>
      <c r="J222" s="116">
        <f t="shared" si="36"/>
        <v>0</v>
      </c>
      <c r="K222" s="116">
        <f t="shared" si="36"/>
        <v>0</v>
      </c>
      <c r="L222" s="116">
        <f t="shared" si="36"/>
        <v>0</v>
      </c>
      <c r="M222" s="69">
        <f t="shared" si="34"/>
        <v>0</v>
      </c>
    </row>
    <row r="223" spans="1:13" ht="12.75" customHeight="1" x14ac:dyDescent="0.2">
      <c r="A223" s="114" t="str">
        <f>"   "&amp;Labels!B171</f>
        <v xml:space="preserve">   Invest 2</v>
      </c>
      <c r="B223" s="116">
        <f>SUM(B215,B219)</f>
        <v>0</v>
      </c>
      <c r="C223" s="69">
        <f>SUM(B215,B219)</f>
        <v>0</v>
      </c>
      <c r="D223" s="116">
        <f t="shared" si="35"/>
        <v>0</v>
      </c>
      <c r="E223" s="116">
        <f t="shared" si="35"/>
        <v>0</v>
      </c>
      <c r="F223" s="116">
        <f t="shared" si="35"/>
        <v>0</v>
      </c>
      <c r="G223" s="116">
        <f t="shared" si="35"/>
        <v>0</v>
      </c>
      <c r="H223" s="69">
        <f t="shared" si="33"/>
        <v>0</v>
      </c>
      <c r="I223" s="116">
        <f t="shared" si="36"/>
        <v>0</v>
      </c>
      <c r="J223" s="116">
        <f t="shared" si="36"/>
        <v>0</v>
      </c>
      <c r="K223" s="116">
        <f t="shared" si="36"/>
        <v>0</v>
      </c>
      <c r="L223" s="116">
        <f t="shared" si="36"/>
        <v>0</v>
      </c>
      <c r="M223" s="69">
        <f t="shared" si="34"/>
        <v>0</v>
      </c>
    </row>
    <row r="224" spans="1:13" ht="12.75" customHeight="1" x14ac:dyDescent="0.2">
      <c r="A224" s="121" t="str">
        <f>"   "&amp;Labels!C169</f>
        <v xml:space="preserve">   Total</v>
      </c>
      <c r="B224" s="132">
        <f>SUM(B216,B220)</f>
        <v>0</v>
      </c>
      <c r="C224" s="70">
        <f>SUM(B216,B220)</f>
        <v>0</v>
      </c>
      <c r="D224" s="132">
        <f t="shared" si="35"/>
        <v>0</v>
      </c>
      <c r="E224" s="132">
        <f t="shared" si="35"/>
        <v>0</v>
      </c>
      <c r="F224" s="132">
        <f t="shared" si="35"/>
        <v>0</v>
      </c>
      <c r="G224" s="132">
        <f t="shared" si="35"/>
        <v>0</v>
      </c>
      <c r="H224" s="70">
        <f>SUM(D221:G221)</f>
        <v>0</v>
      </c>
      <c r="I224" s="132">
        <f t="shared" si="36"/>
        <v>0</v>
      </c>
      <c r="J224" s="132">
        <f t="shared" si="36"/>
        <v>0</v>
      </c>
      <c r="K224" s="132">
        <f t="shared" si="36"/>
        <v>0</v>
      </c>
      <c r="L224" s="132">
        <f t="shared" si="36"/>
        <v>0</v>
      </c>
      <c r="M224" s="70">
        <f>SUM(I221:L221)</f>
        <v>0</v>
      </c>
    </row>
    <row r="225" spans="1:13" ht="12.75" customHeight="1" x14ac:dyDescent="0.2">
      <c r="A225" s="1" t="str">
        <f>Labels!B78</f>
        <v>Investment Tax Credit</v>
      </c>
    </row>
    <row r="226" spans="1:13" ht="12.75" customHeight="1" x14ac:dyDescent="0.2">
      <c r="B226" s="17" t="str">
        <f>Labels!B182</f>
        <v>Catamarans</v>
      </c>
      <c r="C226" s="18" t="str">
        <f>Labels!B183</f>
        <v>Canoes</v>
      </c>
      <c r="D226" s="62" t="str">
        <f>Labels!C181</f>
        <v>Total</v>
      </c>
    </row>
    <row r="227" spans="1:13" ht="12.75" customHeight="1" x14ac:dyDescent="0.2">
      <c r="A227" s="111" t="str">
        <f>Labels!B170</f>
        <v>Invest 1</v>
      </c>
      <c r="B227" s="110">
        <f>B5*Inputs!E24</f>
        <v>0</v>
      </c>
      <c r="C227" s="110">
        <f>C5*Inputs!E26</f>
        <v>0</v>
      </c>
      <c r="D227" s="75">
        <f>SUM(B227:C227)</f>
        <v>0</v>
      </c>
    </row>
    <row r="228" spans="1:13" ht="12.75" customHeight="1" x14ac:dyDescent="0.2">
      <c r="A228" s="117" t="str">
        <f>Labels!B171</f>
        <v>Invest 2</v>
      </c>
      <c r="B228" s="120">
        <f>B6*Inputs!E25</f>
        <v>0</v>
      </c>
      <c r="C228" s="120">
        <f>C6*Inputs!E27</f>
        <v>0</v>
      </c>
      <c r="D228" s="69">
        <f>SUM(B228:C228)</f>
        <v>0</v>
      </c>
    </row>
    <row r="229" spans="1:13" ht="12.75" customHeight="1" x14ac:dyDescent="0.2">
      <c r="A229" s="12" t="str">
        <f>Labels!C169</f>
        <v>Total</v>
      </c>
      <c r="B229" s="107">
        <f>SUM(B227:B228)</f>
        <v>0</v>
      </c>
      <c r="C229" s="107">
        <f>SUM(C227:C228)</f>
        <v>0</v>
      </c>
      <c r="D229" s="108">
        <f>SUM(B229:C229)</f>
        <v>0</v>
      </c>
    </row>
    <row r="230" spans="1:13" ht="12.75" customHeight="1" x14ac:dyDescent="0.2">
      <c r="A230" s="1" t="str">
        <f>Labels!B19</f>
        <v>IInvestment Tax Credit</v>
      </c>
    </row>
    <row r="231" spans="1:13" ht="12.75" customHeight="1" x14ac:dyDescent="0.2">
      <c r="B231" s="17" t="str">
        <f>'(FnCalls 1)'!G6</f>
        <v>Q4 2010</v>
      </c>
      <c r="C231" s="62" t="str">
        <f>'(FnCalls 1)'!H4</f>
        <v>2010</v>
      </c>
      <c r="D231" s="18" t="str">
        <f>'(FnCalls 1)'!G7</f>
        <v>Q1 2011</v>
      </c>
      <c r="E231" s="18" t="str">
        <f>'(FnCalls 1)'!G8</f>
        <v>Q2 2011</v>
      </c>
      <c r="F231" s="18" t="str">
        <f>'(FnCalls 1)'!G9</f>
        <v>Q3 2011</v>
      </c>
      <c r="G231" s="18" t="str">
        <f>'(FnCalls 1)'!G10</f>
        <v>Q4 2011</v>
      </c>
      <c r="H231" s="62" t="str">
        <f>'(FnCalls 1)'!H7</f>
        <v>2011</v>
      </c>
      <c r="I231" s="18" t="str">
        <f>'(FnCalls 1)'!G11</f>
        <v>Q1 2012</v>
      </c>
      <c r="J231" s="18" t="str">
        <f>'(FnCalls 1)'!G12</f>
        <v>Q2 2012</v>
      </c>
      <c r="K231" s="18" t="str">
        <f>'(FnCalls 1)'!G13</f>
        <v>Q3 2012</v>
      </c>
      <c r="L231" s="18" t="str">
        <f>'(FnCalls 1)'!G14</f>
        <v>Q4 2012</v>
      </c>
      <c r="M231" s="62" t="str">
        <f>'(FnCalls 1)'!H11</f>
        <v>2012</v>
      </c>
    </row>
    <row r="232" spans="1:13" ht="12.75" customHeight="1" x14ac:dyDescent="0.2">
      <c r="A232" s="111" t="str">
        <f>Labels!B182</f>
        <v>Catamarans</v>
      </c>
      <c r="B232" s="110"/>
      <c r="C232" s="75"/>
      <c r="D232" s="110"/>
      <c r="E232" s="110"/>
      <c r="F232" s="110"/>
      <c r="G232" s="110"/>
      <c r="H232" s="75"/>
      <c r="I232" s="110"/>
      <c r="J232" s="110"/>
      <c r="K232" s="110"/>
      <c r="L232" s="110"/>
      <c r="M232" s="75"/>
    </row>
    <row r="233" spans="1:13" ht="12.75" customHeight="1" x14ac:dyDescent="0.2">
      <c r="A233" s="114" t="str">
        <f>"   "&amp;Labels!B170</f>
        <v xml:space="preserve">   Invest 1</v>
      </c>
      <c r="B233" s="116">
        <f>IF(OR(Inputs!L17-'(FnCalls 1)'!A6&lt;0,'(FnCalls 1)'!A7-1-Inputs!L17&lt;0),0,Investment!C36)</f>
        <v>0</v>
      </c>
      <c r="C233" s="69">
        <f>B233</f>
        <v>0</v>
      </c>
      <c r="D233" s="116">
        <f>IF(OR(Inputs!L17-'(FnCalls 1)'!A7&lt;0,'(FnCalls 1)'!A8-1-Inputs!L17&lt;0),0,Investment!C36)</f>
        <v>0</v>
      </c>
      <c r="E233" s="116">
        <f>IF(OR(Inputs!L17-'(FnCalls 1)'!A8&lt;0,'(FnCalls 1)'!A9-1-Inputs!L17&lt;0),0,Investment!C36)</f>
        <v>0</v>
      </c>
      <c r="F233" s="116">
        <f>IF(OR(Inputs!L17-'(FnCalls 1)'!A9&lt;0,'(FnCalls 1)'!A10-1-Inputs!L17&lt;0),0,Investment!C36)</f>
        <v>0</v>
      </c>
      <c r="G233" s="116">
        <f>IF(OR(Inputs!L17-'(FnCalls 1)'!A10&lt;0,'(FnCalls 1)'!A11-1-Inputs!L17&lt;0),0,Investment!C36)</f>
        <v>0</v>
      </c>
      <c r="H233" s="69">
        <f>SUM(D233:G233)</f>
        <v>0</v>
      </c>
      <c r="I233" s="116">
        <f>IF(OR(Inputs!L17-'(FnCalls 1)'!A11&lt;0,'(FnCalls 1)'!A12-1-Inputs!L17&lt;0),0,Investment!C36)</f>
        <v>0</v>
      </c>
      <c r="J233" s="116">
        <f>IF(OR(Inputs!L17-'(FnCalls 1)'!A12&lt;0,'(FnCalls 1)'!A13-1-Inputs!L17&lt;0),0,Investment!C36)</f>
        <v>0</v>
      </c>
      <c r="K233" s="116">
        <f>IF(OR(Inputs!L17-'(FnCalls 1)'!A13&lt;0,'(FnCalls 1)'!A14-1-Inputs!L17&lt;0),0,Investment!C36)</f>
        <v>0</v>
      </c>
      <c r="L233" s="116">
        <f>IF(OR(Inputs!L17-'(FnCalls 1)'!A14&lt;0,'(FnCalls 1)'!A15-1-Inputs!L17&lt;0),0,Investment!C36)</f>
        <v>0</v>
      </c>
      <c r="M233" s="69">
        <f>SUM(I233:L233)</f>
        <v>0</v>
      </c>
    </row>
    <row r="234" spans="1:13" ht="12.75" customHeight="1" x14ac:dyDescent="0.2">
      <c r="A234" s="114" t="str">
        <f>"   "&amp;Labels!B171</f>
        <v xml:space="preserve">   Invest 2</v>
      </c>
      <c r="B234" s="116">
        <f>IF(OR(Inputs!L18-'(FnCalls 1)'!A6&lt;0,'(FnCalls 1)'!A7-1-Inputs!L18&lt;0),0,Investment!C37)</f>
        <v>0</v>
      </c>
      <c r="C234" s="69">
        <f>B234</f>
        <v>0</v>
      </c>
      <c r="D234" s="116">
        <f>IF(OR(Inputs!L18-'(FnCalls 1)'!A7&lt;0,'(FnCalls 1)'!A8-1-Inputs!L18&lt;0),0,Investment!C37)</f>
        <v>0</v>
      </c>
      <c r="E234" s="116">
        <f>IF(OR(Inputs!L18-'(FnCalls 1)'!A8&lt;0,'(FnCalls 1)'!A9-1-Inputs!L18&lt;0),0,Investment!C37)</f>
        <v>0</v>
      </c>
      <c r="F234" s="116">
        <f>IF(OR(Inputs!L18-'(FnCalls 1)'!A9&lt;0,'(FnCalls 1)'!A10-1-Inputs!L18&lt;0),0,Investment!C37)</f>
        <v>0</v>
      </c>
      <c r="G234" s="116">
        <f>IF(OR(Inputs!L18-'(FnCalls 1)'!A10&lt;0,'(FnCalls 1)'!A11-1-Inputs!L18&lt;0),0,Investment!C37)</f>
        <v>0</v>
      </c>
      <c r="H234" s="69">
        <f>SUM(D234:G234)</f>
        <v>0</v>
      </c>
      <c r="I234" s="116">
        <f>IF(OR(Inputs!L18-'(FnCalls 1)'!A11&lt;0,'(FnCalls 1)'!A12-1-Inputs!L18&lt;0),0,Investment!C37)</f>
        <v>0</v>
      </c>
      <c r="J234" s="116">
        <f>IF(OR(Inputs!L18-'(FnCalls 1)'!A12&lt;0,'(FnCalls 1)'!A13-1-Inputs!L18&lt;0),0,Investment!C37)</f>
        <v>0</v>
      </c>
      <c r="K234" s="116">
        <f>IF(OR(Inputs!L18-'(FnCalls 1)'!A13&lt;0,'(FnCalls 1)'!A14-1-Inputs!L18&lt;0),0,Investment!C37)</f>
        <v>0</v>
      </c>
      <c r="L234" s="116">
        <f>IF(OR(Inputs!L18-'(FnCalls 1)'!A14&lt;0,'(FnCalls 1)'!A15-1-Inputs!L18&lt;0),0,Investment!C37)</f>
        <v>0</v>
      </c>
      <c r="M234" s="69">
        <f>SUM(I234:L234)</f>
        <v>0</v>
      </c>
    </row>
    <row r="235" spans="1:13" ht="12.75" customHeight="1" x14ac:dyDescent="0.2">
      <c r="A235" s="117" t="str">
        <f>"   "&amp;Labels!C169</f>
        <v xml:space="preserve">   Total</v>
      </c>
      <c r="B235" s="120">
        <f>SUM(B233:B234)</f>
        <v>0</v>
      </c>
      <c r="C235" s="69">
        <f>SUM(B233:B234)</f>
        <v>0</v>
      </c>
      <c r="D235" s="120">
        <f>SUM(D233:D234)</f>
        <v>0</v>
      </c>
      <c r="E235" s="120">
        <f>SUM(E233:E234)</f>
        <v>0</v>
      </c>
      <c r="F235" s="120">
        <f>SUM(F233:F234)</f>
        <v>0</v>
      </c>
      <c r="G235" s="120">
        <f>SUM(G233:G234)</f>
        <v>0</v>
      </c>
      <c r="H235" s="69">
        <f>SUM(D235:G235)</f>
        <v>0</v>
      </c>
      <c r="I235" s="120">
        <f>SUM(I233:I234)</f>
        <v>0</v>
      </c>
      <c r="J235" s="120">
        <f>SUM(J233:J234)</f>
        <v>0</v>
      </c>
      <c r="K235" s="120">
        <f>SUM(K233:K234)</f>
        <v>0</v>
      </c>
      <c r="L235" s="120">
        <f>SUM(L233:L234)</f>
        <v>0</v>
      </c>
      <c r="M235" s="69">
        <f>SUM(I235:L235)</f>
        <v>0</v>
      </c>
    </row>
    <row r="236" spans="1:13" ht="12.75" customHeight="1" x14ac:dyDescent="0.2">
      <c r="A236" s="117" t="str">
        <f>Labels!B183</f>
        <v>Canoes</v>
      </c>
      <c r="B236" s="120"/>
      <c r="C236" s="69"/>
      <c r="D236" s="120"/>
      <c r="E236" s="120"/>
      <c r="F236" s="120"/>
      <c r="G236" s="120"/>
      <c r="H236" s="69"/>
      <c r="I236" s="120"/>
      <c r="J236" s="120"/>
      <c r="K236" s="120"/>
      <c r="L236" s="120"/>
      <c r="M236" s="69"/>
    </row>
    <row r="237" spans="1:13" ht="12.75" customHeight="1" x14ac:dyDescent="0.2">
      <c r="A237" s="114" t="str">
        <f>"   "&amp;Labels!B170</f>
        <v xml:space="preserve">   Invest 1</v>
      </c>
      <c r="B237" s="116">
        <f>IF(OR(Inputs!L19-'(FnCalls 1)'!A6&lt;0,'(FnCalls 1)'!A7-1-Inputs!L19&lt;0),0,Investment!C40)</f>
        <v>0</v>
      </c>
      <c r="C237" s="69">
        <f>B237</f>
        <v>0</v>
      </c>
      <c r="D237" s="116">
        <f>IF(OR(Inputs!L19-'(FnCalls 1)'!A7&lt;0,'(FnCalls 1)'!A8-1-Inputs!L19&lt;0),0,Investment!C40)</f>
        <v>0</v>
      </c>
      <c r="E237" s="116">
        <f>IF(OR(Inputs!L19-'(FnCalls 1)'!A8&lt;0,'(FnCalls 1)'!A9-1-Inputs!L19&lt;0),0,Investment!C40)</f>
        <v>0</v>
      </c>
      <c r="F237" s="116">
        <f>IF(OR(Inputs!L19-'(FnCalls 1)'!A9&lt;0,'(FnCalls 1)'!A10-1-Inputs!L19&lt;0),0,Investment!C40)</f>
        <v>0</v>
      </c>
      <c r="G237" s="116">
        <f>IF(OR(Inputs!L19-'(FnCalls 1)'!A10&lt;0,'(FnCalls 1)'!A11-1-Inputs!L19&lt;0),0,Investment!C40)</f>
        <v>0</v>
      </c>
      <c r="H237" s="69">
        <f t="shared" ref="H237:H242" si="37">SUM(D237:G237)</f>
        <v>0</v>
      </c>
      <c r="I237" s="116">
        <f>IF(OR(Inputs!L19-'(FnCalls 1)'!A11&lt;0,'(FnCalls 1)'!A12-1-Inputs!L19&lt;0),0,Investment!C40)</f>
        <v>0</v>
      </c>
      <c r="J237" s="116">
        <f>IF(OR(Inputs!L19-'(FnCalls 1)'!A12&lt;0,'(FnCalls 1)'!A13-1-Inputs!L19&lt;0),0,Investment!C40)</f>
        <v>0</v>
      </c>
      <c r="K237" s="116">
        <f>IF(OR(Inputs!L19-'(FnCalls 1)'!A13&lt;0,'(FnCalls 1)'!A14-1-Inputs!L19&lt;0),0,Investment!C40)</f>
        <v>0</v>
      </c>
      <c r="L237" s="116">
        <f>IF(OR(Inputs!L19-'(FnCalls 1)'!A14&lt;0,'(FnCalls 1)'!A15-1-Inputs!L19&lt;0),0,Investment!C40)</f>
        <v>0</v>
      </c>
      <c r="M237" s="69">
        <f t="shared" ref="M237:M242" si="38">SUM(I237:L237)</f>
        <v>0</v>
      </c>
    </row>
    <row r="238" spans="1:13" ht="12.75" customHeight="1" x14ac:dyDescent="0.2">
      <c r="A238" s="114" t="str">
        <f>"   "&amp;Labels!B171</f>
        <v xml:space="preserve">   Invest 2</v>
      </c>
      <c r="B238" s="116">
        <f>IF(OR(Inputs!L20-'(FnCalls 1)'!A6&lt;0,'(FnCalls 1)'!A7-1-Inputs!L20&lt;0),0,Investment!C41)</f>
        <v>0</v>
      </c>
      <c r="C238" s="69">
        <f>B238</f>
        <v>0</v>
      </c>
      <c r="D238" s="116">
        <f>IF(OR(Inputs!L20-'(FnCalls 1)'!A7&lt;0,'(FnCalls 1)'!A8-1-Inputs!L20&lt;0),0,Investment!C41)</f>
        <v>0</v>
      </c>
      <c r="E238" s="116">
        <f>IF(OR(Inputs!L20-'(FnCalls 1)'!A8&lt;0,'(FnCalls 1)'!A9-1-Inputs!L20&lt;0),0,Investment!C41)</f>
        <v>0</v>
      </c>
      <c r="F238" s="116">
        <f>IF(OR(Inputs!L20-'(FnCalls 1)'!A9&lt;0,'(FnCalls 1)'!A10-1-Inputs!L20&lt;0),0,Investment!C41)</f>
        <v>0</v>
      </c>
      <c r="G238" s="116">
        <f>IF(OR(Inputs!L20-'(FnCalls 1)'!A10&lt;0,'(FnCalls 1)'!A11-1-Inputs!L20&lt;0),0,Investment!C41)</f>
        <v>0</v>
      </c>
      <c r="H238" s="69">
        <f t="shared" si="37"/>
        <v>0</v>
      </c>
      <c r="I238" s="116">
        <f>IF(OR(Inputs!L20-'(FnCalls 1)'!A11&lt;0,'(FnCalls 1)'!A12-1-Inputs!L20&lt;0),0,Investment!C41)</f>
        <v>0</v>
      </c>
      <c r="J238" s="116">
        <f>IF(OR(Inputs!L20-'(FnCalls 1)'!A12&lt;0,'(FnCalls 1)'!A13-1-Inputs!L20&lt;0),0,Investment!C41)</f>
        <v>0</v>
      </c>
      <c r="K238" s="116">
        <f>IF(OR(Inputs!L20-'(FnCalls 1)'!A13&lt;0,'(FnCalls 1)'!A14-1-Inputs!L20&lt;0),0,Investment!C41)</f>
        <v>0</v>
      </c>
      <c r="L238" s="116">
        <f>IF(OR(Inputs!L20-'(FnCalls 1)'!A14&lt;0,'(FnCalls 1)'!A15-1-Inputs!L20&lt;0),0,Investment!C41)</f>
        <v>0</v>
      </c>
      <c r="M238" s="69">
        <f t="shared" si="38"/>
        <v>0</v>
      </c>
    </row>
    <row r="239" spans="1:13" ht="12.75" customHeight="1" x14ac:dyDescent="0.2">
      <c r="A239" s="117" t="str">
        <f>"   "&amp;Labels!C169</f>
        <v xml:space="preserve">   Total</v>
      </c>
      <c r="B239" s="120">
        <f>SUM(B237:B238)</f>
        <v>0</v>
      </c>
      <c r="C239" s="69">
        <f>SUM(B237:B238)</f>
        <v>0</v>
      </c>
      <c r="D239" s="120">
        <f>SUM(D237:D238)</f>
        <v>0</v>
      </c>
      <c r="E239" s="120">
        <f>SUM(E237:E238)</f>
        <v>0</v>
      </c>
      <c r="F239" s="120">
        <f>SUM(F237:F238)</f>
        <v>0</v>
      </c>
      <c r="G239" s="120">
        <f>SUM(G237:G238)</f>
        <v>0</v>
      </c>
      <c r="H239" s="69">
        <f t="shared" si="37"/>
        <v>0</v>
      </c>
      <c r="I239" s="120">
        <f>SUM(I237:I238)</f>
        <v>0</v>
      </c>
      <c r="J239" s="120">
        <f>SUM(J237:J238)</f>
        <v>0</v>
      </c>
      <c r="K239" s="120">
        <f>SUM(K237:K238)</f>
        <v>0</v>
      </c>
      <c r="L239" s="120">
        <f>SUM(L237:L238)</f>
        <v>0</v>
      </c>
      <c r="M239" s="69">
        <f t="shared" si="38"/>
        <v>0</v>
      </c>
    </row>
    <row r="240" spans="1:13" ht="12.75" customHeight="1" x14ac:dyDescent="0.2">
      <c r="A240" s="12" t="str">
        <f>Labels!C181</f>
        <v>Total</v>
      </c>
      <c r="B240" s="107">
        <f>SUM(B235,B239)</f>
        <v>0</v>
      </c>
      <c r="C240" s="108">
        <f>SUM(B235,B239)</f>
        <v>0</v>
      </c>
      <c r="D240" s="107">
        <f>SUM(D235,D239)</f>
        <v>0</v>
      </c>
      <c r="E240" s="107">
        <f>SUM(E235,E239)</f>
        <v>0</v>
      </c>
      <c r="F240" s="107">
        <f>SUM(F235,F239)</f>
        <v>0</v>
      </c>
      <c r="G240" s="107">
        <f>SUM(G235,G239)</f>
        <v>0</v>
      </c>
      <c r="H240" s="108">
        <f t="shared" si="37"/>
        <v>0</v>
      </c>
      <c r="I240" s="107">
        <f>SUM(I235,I239)</f>
        <v>0</v>
      </c>
      <c r="J240" s="107">
        <f>SUM(J235,J239)</f>
        <v>0</v>
      </c>
      <c r="K240" s="107">
        <f>SUM(K235,K239)</f>
        <v>0</v>
      </c>
      <c r="L240" s="107">
        <f>SUM(L235,L239)</f>
        <v>0</v>
      </c>
      <c r="M240" s="108">
        <f t="shared" si="38"/>
        <v>0</v>
      </c>
    </row>
    <row r="241" spans="1:13" ht="12.75" customHeight="1" x14ac:dyDescent="0.2">
      <c r="A241" s="114" t="str">
        <f>"   "&amp;Labels!B170</f>
        <v xml:space="preserve">   Invest 1</v>
      </c>
      <c r="B241" s="116">
        <f>SUM(B233,B237)</f>
        <v>0</v>
      </c>
      <c r="C241" s="69">
        <f>SUM(B233,B237)</f>
        <v>0</v>
      </c>
      <c r="D241" s="116">
        <f t="shared" ref="D241:G243" si="39">SUM(D233,D237)</f>
        <v>0</v>
      </c>
      <c r="E241" s="116">
        <f t="shared" si="39"/>
        <v>0</v>
      </c>
      <c r="F241" s="116">
        <f t="shared" si="39"/>
        <v>0</v>
      </c>
      <c r="G241" s="116">
        <f t="shared" si="39"/>
        <v>0</v>
      </c>
      <c r="H241" s="69">
        <f t="shared" si="37"/>
        <v>0</v>
      </c>
      <c r="I241" s="116">
        <f t="shared" ref="I241:L243" si="40">SUM(I233,I237)</f>
        <v>0</v>
      </c>
      <c r="J241" s="116">
        <f t="shared" si="40"/>
        <v>0</v>
      </c>
      <c r="K241" s="116">
        <f t="shared" si="40"/>
        <v>0</v>
      </c>
      <c r="L241" s="116">
        <f t="shared" si="40"/>
        <v>0</v>
      </c>
      <c r="M241" s="69">
        <f t="shared" si="38"/>
        <v>0</v>
      </c>
    </row>
    <row r="242" spans="1:13" ht="12.75" customHeight="1" x14ac:dyDescent="0.2">
      <c r="A242" s="114" t="str">
        <f>"   "&amp;Labels!B171</f>
        <v xml:space="preserve">   Invest 2</v>
      </c>
      <c r="B242" s="116">
        <f>SUM(B234,B238)</f>
        <v>0</v>
      </c>
      <c r="C242" s="69">
        <f>SUM(B234,B238)</f>
        <v>0</v>
      </c>
      <c r="D242" s="116">
        <f t="shared" si="39"/>
        <v>0</v>
      </c>
      <c r="E242" s="116">
        <f t="shared" si="39"/>
        <v>0</v>
      </c>
      <c r="F242" s="116">
        <f t="shared" si="39"/>
        <v>0</v>
      </c>
      <c r="G242" s="116">
        <f t="shared" si="39"/>
        <v>0</v>
      </c>
      <c r="H242" s="69">
        <f t="shared" si="37"/>
        <v>0</v>
      </c>
      <c r="I242" s="116">
        <f t="shared" si="40"/>
        <v>0</v>
      </c>
      <c r="J242" s="116">
        <f t="shared" si="40"/>
        <v>0</v>
      </c>
      <c r="K242" s="116">
        <f t="shared" si="40"/>
        <v>0</v>
      </c>
      <c r="L242" s="116">
        <f t="shared" si="40"/>
        <v>0</v>
      </c>
      <c r="M242" s="69">
        <f t="shared" si="38"/>
        <v>0</v>
      </c>
    </row>
    <row r="243" spans="1:13" ht="12.75" customHeight="1" x14ac:dyDescent="0.2">
      <c r="A243" s="121" t="str">
        <f>"   "&amp;Labels!C169</f>
        <v xml:space="preserve">   Total</v>
      </c>
      <c r="B243" s="132">
        <f>SUM(B235,B239)</f>
        <v>0</v>
      </c>
      <c r="C243" s="70">
        <f>SUM(B235,B239)</f>
        <v>0</v>
      </c>
      <c r="D243" s="132">
        <f t="shared" si="39"/>
        <v>0</v>
      </c>
      <c r="E243" s="132">
        <f t="shared" si="39"/>
        <v>0</v>
      </c>
      <c r="F243" s="132">
        <f t="shared" si="39"/>
        <v>0</v>
      </c>
      <c r="G243" s="132">
        <f t="shared" si="39"/>
        <v>0</v>
      </c>
      <c r="H243" s="70">
        <f>SUM(D240:G240)</f>
        <v>0</v>
      </c>
      <c r="I243" s="132">
        <f t="shared" si="40"/>
        <v>0</v>
      </c>
      <c r="J243" s="132">
        <f t="shared" si="40"/>
        <v>0</v>
      </c>
      <c r="K243" s="132">
        <f t="shared" si="40"/>
        <v>0</v>
      </c>
      <c r="L243" s="132">
        <f t="shared" si="40"/>
        <v>0</v>
      </c>
      <c r="M243" s="70">
        <f>SUM(I240:L240)</f>
        <v>0</v>
      </c>
    </row>
    <row r="244" spans="1:13" ht="12.75" customHeight="1" x14ac:dyDescent="0.2">
      <c r="A244" s="1" t="str">
        <f>Labels!B111</f>
        <v>Tail Future Value</v>
      </c>
    </row>
    <row r="245" spans="1:13" ht="12.75" customHeight="1" x14ac:dyDescent="0.2">
      <c r="B245" s="62"/>
    </row>
    <row r="246" spans="1:13" ht="12.75" customHeight="1" x14ac:dyDescent="0.2">
      <c r="A246" s="111" t="str">
        <f>Labels!B182</f>
        <v>Catamarans</v>
      </c>
      <c r="B246" s="125">
        <f>'(Compute)'!B171+'(Compute)'!B179</f>
        <v>0</v>
      </c>
    </row>
    <row r="247" spans="1:13" ht="12.75" customHeight="1" x14ac:dyDescent="0.2">
      <c r="A247" s="117" t="str">
        <f>Labels!B183</f>
        <v>Canoes</v>
      </c>
      <c r="B247" s="129">
        <f>'(Compute)'!C171+'(Compute)'!C179</f>
        <v>0</v>
      </c>
    </row>
    <row r="248" spans="1:13" ht="12.75" customHeight="1" x14ac:dyDescent="0.2">
      <c r="A248" s="12" t="str">
        <f>Labels!C181</f>
        <v>Total</v>
      </c>
      <c r="B248" s="109">
        <f>SUM(B246:B247)</f>
        <v>0</v>
      </c>
    </row>
    <row r="249" spans="1:13" ht="12.75" customHeight="1" x14ac:dyDescent="0.2">
      <c r="A249" s="1" t="str">
        <f>Labels!B112</f>
        <v>Tail Early FV Factor</v>
      </c>
    </row>
    <row r="250" spans="1:13" ht="12.75" customHeight="1" x14ac:dyDescent="0.2">
      <c r="B250" s="62"/>
    </row>
    <row r="251" spans="1:13" ht="12.75" customHeight="1" x14ac:dyDescent="0.2">
      <c r="A251" s="111" t="str">
        <f>Labels!B182</f>
        <v>Catamarans</v>
      </c>
      <c r="B251" s="125">
        <f>1*1*1/(B256-B259)+1*1*(-((1/(1+B256)/2+B259/(1+B256))^((4*Inputs!E200)/2)))/(B256-B259)+1*B256*1/(B256-B259)+1*B256*(-((1/(1+B256)/2+B259/(1+B256))^((4*Inputs!E200)/2)))/(B256-B259)+B259*1*1/(B256-B259)+B259*1*(-((1/(1+B256)/2+B259/(1+B256))^((4*Inputs!E200)/2)))/(B256-B259)+B259*B256*1/(B256-B259)+B259*B256*(-((1/(1+B256)/2+B259/(1+B256))^((4*Inputs!E200)/2)))/(B256-B259)</f>
        <v>0</v>
      </c>
    </row>
    <row r="252" spans="1:13" ht="12.75" customHeight="1" x14ac:dyDescent="0.2">
      <c r="A252" s="117" t="str">
        <f>Labels!B183</f>
        <v>Canoes</v>
      </c>
      <c r="B252" s="129">
        <f>1*1*1/(B256-B260)+1*1*(-((1/(1+B256)/2+B260/(1+B256))^((4*Inputs!E200)/2)))/(B256-B260)+1*B256*1/(B256-B260)+1*B256*(-((1/(1+B256)/2+B260/(1+B256))^((4*Inputs!E200)/2)))/(B256-B260)+B260*1*1/(B256-B260)+B260*1*(-((1/(1+B256)/2+B260/(1+B256))^((4*Inputs!E200)/2)))/(B256-B260)+B260*B256*1/(B256-B260)+B260*B256*(-((1/(1+B256)/2+B260/(1+B256))^((4*Inputs!E200)/2)))/(B256-B260)</f>
        <v>0</v>
      </c>
    </row>
    <row r="253" spans="1:13" ht="12.75" customHeight="1" x14ac:dyDescent="0.2">
      <c r="A253" s="12" t="str">
        <f>Labels!C181</f>
        <v>Total</v>
      </c>
      <c r="B253" s="109">
        <f>SUM(B251:B252)</f>
        <v>0</v>
      </c>
    </row>
    <row r="254" spans="1:13" ht="12.75" customHeight="1" x14ac:dyDescent="0.2">
      <c r="A254" s="1" t="str">
        <f>Labels!B108</f>
        <v>Tail Discount Rate</v>
      </c>
    </row>
    <row r="255" spans="1:13" ht="12.75" customHeight="1" x14ac:dyDescent="0.2">
      <c r="B255" s="62"/>
    </row>
    <row r="256" spans="1:13" ht="12.75" customHeight="1" x14ac:dyDescent="0.2">
      <c r="A256" s="12"/>
      <c r="B256" s="222">
        <f>(1+Inputs!E199)^(1/4)-1</f>
        <v>3.5558076341622114E-2</v>
      </c>
    </row>
    <row r="257" spans="1:2" ht="12.75" customHeight="1" x14ac:dyDescent="0.2">
      <c r="A257" s="1" t="str">
        <f>Labels!B114</f>
        <v>Tail Early Growth Rate</v>
      </c>
    </row>
    <row r="258" spans="1:2" ht="12.75" customHeight="1" x14ac:dyDescent="0.2">
      <c r="B258" s="62"/>
    </row>
    <row r="259" spans="1:2" ht="12.75" customHeight="1" x14ac:dyDescent="0.2">
      <c r="A259" s="111" t="str">
        <f>Labels!B182</f>
        <v>Catamarans</v>
      </c>
      <c r="B259" s="187">
        <f>(1+B151)^(1/4)-1</f>
        <v>0</v>
      </c>
    </row>
    <row r="260" spans="1:2" ht="12.75" customHeight="1" x14ac:dyDescent="0.2">
      <c r="A260" s="117" t="str">
        <f>Labels!B183</f>
        <v>Canoes</v>
      </c>
      <c r="B260" s="188">
        <f>(1+B152)^(1/4)-1</f>
        <v>0</v>
      </c>
    </row>
    <row r="261" spans="1:2" ht="12.75" customHeight="1" x14ac:dyDescent="0.2">
      <c r="A261" s="12" t="str">
        <f>Labels!C181</f>
        <v>Total</v>
      </c>
      <c r="B261" s="184">
        <f>(1+B153)^(1/4)-1</f>
        <v>0</v>
      </c>
    </row>
    <row r="262" spans="1:2" ht="12.75" customHeight="1" x14ac:dyDescent="0.2">
      <c r="A262" s="1" t="str">
        <f>Labels!B113</f>
        <v>Tail Late FV Factor</v>
      </c>
    </row>
    <row r="263" spans="1:2" ht="12.75" customHeight="1" x14ac:dyDescent="0.2">
      <c r="B263" s="62"/>
    </row>
    <row r="264" spans="1:2" ht="12.75" customHeight="1" x14ac:dyDescent="0.2">
      <c r="A264" s="111" t="str">
        <f>Labels!B182</f>
        <v>Catamarans</v>
      </c>
      <c r="B264" s="125">
        <f>(1+B151)^Inputs!E200*1*1/(B256-B269)/(1+Inputs!E199)^Inputs!E200+(1+B151)^Inputs!E200*1*B256/(B256-B269)/(1+Inputs!E199)^Inputs!E200+(1+B151)^Inputs!E200*B269*1/(B256-B269)/(1+Inputs!E199)^Inputs!E200+(1+B151)^Inputs!E200*B269*B256/(B256-B269)/(1+Inputs!E199)^Inputs!E200</f>
        <v>29.123006160191547</v>
      </c>
    </row>
    <row r="265" spans="1:2" ht="12.75" customHeight="1" x14ac:dyDescent="0.2">
      <c r="A265" s="117" t="str">
        <f>Labels!B183</f>
        <v>Canoes</v>
      </c>
      <c r="B265" s="129">
        <f>(1+B152)^Inputs!E200*1*1/(B256-B270)/(1+Inputs!E199)^Inputs!E200+(1+B152)^Inputs!E200*1*B256/(B256-B270)/(1+Inputs!E199)^Inputs!E200+(1+B152)^Inputs!E200*B270*1/(B256-B270)/(1+Inputs!E199)^Inputs!E200+(1+B152)^Inputs!E200*B270*B256/(B256-B270)/(1+Inputs!E199)^Inputs!E200</f>
        <v>29.123006160191547</v>
      </c>
    </row>
    <row r="266" spans="1:2" ht="12.75" customHeight="1" x14ac:dyDescent="0.2">
      <c r="A266" s="12" t="str">
        <f>Labels!C181</f>
        <v>Total</v>
      </c>
      <c r="B266" s="109">
        <f>SUM(B264:B265)</f>
        <v>58.246012320383095</v>
      </c>
    </row>
    <row r="267" spans="1:2" ht="12.75" customHeight="1" x14ac:dyDescent="0.2">
      <c r="A267" s="1" t="str">
        <f>Labels!B116</f>
        <v>Tail Late Growth Rate</v>
      </c>
    </row>
    <row r="268" spans="1:2" ht="12.75" customHeight="1" x14ac:dyDescent="0.2">
      <c r="B268" s="62"/>
    </row>
    <row r="269" spans="1:2" ht="12.75" customHeight="1" x14ac:dyDescent="0.2">
      <c r="A269" s="111" t="str">
        <f>Labels!B182</f>
        <v>Catamarans</v>
      </c>
      <c r="B269" s="187">
        <f>(1+B156)^(1/4)-1</f>
        <v>0</v>
      </c>
    </row>
    <row r="270" spans="1:2" ht="12.75" customHeight="1" x14ac:dyDescent="0.2">
      <c r="A270" s="117" t="str">
        <f>Labels!B183</f>
        <v>Canoes</v>
      </c>
      <c r="B270" s="188">
        <f>(1+B157)^(1/4)-1</f>
        <v>0</v>
      </c>
    </row>
    <row r="271" spans="1:2" ht="12.75" customHeight="1" x14ac:dyDescent="0.2">
      <c r="A271" s="12" t="str">
        <f>Labels!C181</f>
        <v>Total</v>
      </c>
      <c r="B271" s="184">
        <f>(1+B158)^(1/4)-1</f>
        <v>0</v>
      </c>
    </row>
    <row r="272" spans="1:2" ht="12.75" customHeight="1" x14ac:dyDescent="0.2">
      <c r="A272" s="1" t="str">
        <f>Labels!B41</f>
        <v>Discount Rate</v>
      </c>
    </row>
    <row r="273" spans="1:13" ht="12.75" customHeight="1" x14ac:dyDescent="0.2">
      <c r="B273" s="17" t="str">
        <f>'(FnCalls 1)'!G6</f>
        <v>Q4 2010</v>
      </c>
      <c r="C273" s="62" t="str">
        <f>'(FnCalls 1)'!H4</f>
        <v>2010</v>
      </c>
      <c r="D273" s="18" t="str">
        <f>'(FnCalls 1)'!G7</f>
        <v>Q1 2011</v>
      </c>
      <c r="E273" s="18" t="str">
        <f>'(FnCalls 1)'!G8</f>
        <v>Q2 2011</v>
      </c>
      <c r="F273" s="18" t="str">
        <f>'(FnCalls 1)'!G9</f>
        <v>Q3 2011</v>
      </c>
      <c r="G273" s="18" t="str">
        <f>'(FnCalls 1)'!G10</f>
        <v>Q4 2011</v>
      </c>
      <c r="H273" s="62" t="str">
        <f>'(FnCalls 1)'!H7</f>
        <v>2011</v>
      </c>
      <c r="I273" s="18" t="str">
        <f>'(FnCalls 1)'!G11</f>
        <v>Q1 2012</v>
      </c>
      <c r="J273" s="18" t="str">
        <f>'(FnCalls 1)'!G12</f>
        <v>Q2 2012</v>
      </c>
      <c r="K273" s="18" t="str">
        <f>'(FnCalls 1)'!G13</f>
        <v>Q3 2012</v>
      </c>
      <c r="L273" s="18" t="str">
        <f>'(FnCalls 1)'!G14</f>
        <v>Q4 2012</v>
      </c>
      <c r="M273" s="62" t="str">
        <f>'(FnCalls 1)'!H11</f>
        <v>2012</v>
      </c>
    </row>
    <row r="274" spans="1:13" ht="12.75" customHeight="1" x14ac:dyDescent="0.2">
      <c r="A274" s="111" t="str">
        <f>Labels!B182</f>
        <v>Catamarans</v>
      </c>
      <c r="B274" s="225">
        <f>(1+'Equity Fin'!B212)^(1/4)-1</f>
        <v>3.5558076341622114E-2</v>
      </c>
      <c r="C274" s="162">
        <f>(1+B274)^1-1</f>
        <v>3.5558076341622114E-2</v>
      </c>
      <c r="D274" s="225">
        <f>(1+'Equity Fin'!D212)^(1/4)-1</f>
        <v>3.5558076341622114E-2</v>
      </c>
      <c r="E274" s="225">
        <f>(1+'Equity Fin'!E212)^(1/4)-1</f>
        <v>3.5558076341622114E-2</v>
      </c>
      <c r="F274" s="225">
        <f>(1+'Equity Fin'!F212)^(1/4)-1</f>
        <v>3.5558076341622114E-2</v>
      </c>
      <c r="G274" s="225">
        <f>(1+'Equity Fin'!G212)^(1/4)-1</f>
        <v>3.5558076341622114E-2</v>
      </c>
      <c r="H274" s="162">
        <f>(1+D274)^1*(1+E274)^1*(1+F274)^1*(1+G274)^1-1</f>
        <v>0.14999999999999991</v>
      </c>
      <c r="I274" s="225">
        <f>(1+'Equity Fin'!I212)^(1/4)-1</f>
        <v>3.5558076341622114E-2</v>
      </c>
      <c r="J274" s="225">
        <f>(1+'Equity Fin'!J212)^(1/4)-1</f>
        <v>3.5558076341622114E-2</v>
      </c>
      <c r="K274" s="225">
        <f>(1+'Equity Fin'!K212)^(1/4)-1</f>
        <v>3.5558076341622114E-2</v>
      </c>
      <c r="L274" s="225">
        <f>(1+'Equity Fin'!L212)^(1/4)-1</f>
        <v>3.5558076341622114E-2</v>
      </c>
      <c r="M274" s="162">
        <f>(1+I274)^1*(1+J274)^1*(1+K274)^1*(1+L274)^1-1</f>
        <v>0.14999999999999991</v>
      </c>
    </row>
    <row r="275" spans="1:13" ht="12.75" customHeight="1" x14ac:dyDescent="0.2">
      <c r="A275" s="117" t="str">
        <f>Labels!B183</f>
        <v>Canoes</v>
      </c>
      <c r="B275" s="226">
        <f>(1+'Equity Fin'!B213)^(1/4)-1</f>
        <v>3.5558076341622114E-2</v>
      </c>
      <c r="C275" s="163">
        <f>(1+B275)^1-1</f>
        <v>3.5558076341622114E-2</v>
      </c>
      <c r="D275" s="226">
        <f>(1+'Equity Fin'!D213)^(1/4)-1</f>
        <v>3.5558076341622114E-2</v>
      </c>
      <c r="E275" s="226">
        <f>(1+'Equity Fin'!E213)^(1/4)-1</f>
        <v>3.5558076341622114E-2</v>
      </c>
      <c r="F275" s="226">
        <f>(1+'Equity Fin'!F213)^(1/4)-1</f>
        <v>3.5558076341622114E-2</v>
      </c>
      <c r="G275" s="226">
        <f>(1+'Equity Fin'!G213)^(1/4)-1</f>
        <v>3.5558076341622114E-2</v>
      </c>
      <c r="H275" s="163">
        <f>(1+D275)^1*(1+E275)^1*(1+F275)^1*(1+G275)^1-1</f>
        <v>0.14999999999999991</v>
      </c>
      <c r="I275" s="226">
        <f>(1+'Equity Fin'!I213)^(1/4)-1</f>
        <v>3.5558076341622114E-2</v>
      </c>
      <c r="J275" s="226">
        <f>(1+'Equity Fin'!J213)^(1/4)-1</f>
        <v>3.5558076341622114E-2</v>
      </c>
      <c r="K275" s="226">
        <f>(1+'Equity Fin'!K213)^(1/4)-1</f>
        <v>3.5558076341622114E-2</v>
      </c>
      <c r="L275" s="226">
        <f>(1+'Equity Fin'!L213)^(1/4)-1</f>
        <v>3.5558076341622114E-2</v>
      </c>
      <c r="M275" s="163">
        <f>(1+I275)^1*(1+J275)^1*(1+K275)^1*(1+L275)^1-1</f>
        <v>0.14999999999999991</v>
      </c>
    </row>
    <row r="276" spans="1:13" ht="12.75" customHeight="1" x14ac:dyDescent="0.2">
      <c r="A276" s="12" t="str">
        <f>Labels!C181</f>
        <v>Total</v>
      </c>
      <c r="B276" s="227">
        <f>(1+'Equity Fin'!B214)^(1/4)-1</f>
        <v>3.5558076341622114E-2</v>
      </c>
      <c r="C276" s="228">
        <f>(1+B276)^1-1</f>
        <v>3.5558076341622114E-2</v>
      </c>
      <c r="D276" s="227">
        <f>(1+'Equity Fin'!D214)^(1/4)-1</f>
        <v>3.5558076341622114E-2</v>
      </c>
      <c r="E276" s="227">
        <f>(1+'Equity Fin'!E214)^(1/4)-1</f>
        <v>3.5558076341622114E-2</v>
      </c>
      <c r="F276" s="227">
        <f>(1+'Equity Fin'!F214)^(1/4)-1</f>
        <v>3.5558076341622114E-2</v>
      </c>
      <c r="G276" s="227">
        <f>(1+'Equity Fin'!G214)^(1/4)-1</f>
        <v>3.5558076341622114E-2</v>
      </c>
      <c r="H276" s="228">
        <f>(1+D276)^1*(1+E276)^1*(1+F276)^1*(1+G276)^1-1</f>
        <v>0.14999999999999991</v>
      </c>
      <c r="I276" s="227">
        <f>(1+'Equity Fin'!I214)^(1/4)-1</f>
        <v>3.5558076341622114E-2</v>
      </c>
      <c r="J276" s="227">
        <f>(1+'Equity Fin'!J214)^(1/4)-1</f>
        <v>3.5558076341622114E-2</v>
      </c>
      <c r="K276" s="227">
        <f>(1+'Equity Fin'!K214)^(1/4)-1</f>
        <v>3.5558076341622114E-2</v>
      </c>
      <c r="L276" s="227">
        <f>(1+'Equity Fin'!L214)^(1/4)-1</f>
        <v>3.5558076341622114E-2</v>
      </c>
      <c r="M276" s="228">
        <f>(1+I276)^1*(1+J276)^1*(1+K276)^1*(1+L276)^1-1</f>
        <v>0.14999999999999991</v>
      </c>
    </row>
    <row r="277" spans="1:13" ht="12.75" customHeight="1" x14ac:dyDescent="0.2">
      <c r="A277" s="1" t="str">
        <f>Labels!B39</f>
        <v>Discount Factor</v>
      </c>
    </row>
    <row r="278" spans="1:13" ht="12.75" customHeight="1" x14ac:dyDescent="0.2">
      <c r="B278" s="17" t="str">
        <f>'(FnCalls 1)'!G6</f>
        <v>Q4 2010</v>
      </c>
      <c r="C278" s="62" t="str">
        <f>'(FnCalls 1)'!H4</f>
        <v>2010</v>
      </c>
      <c r="D278" s="18" t="str">
        <f>'(FnCalls 1)'!G7</f>
        <v>Q1 2011</v>
      </c>
      <c r="E278" s="18" t="str">
        <f>'(FnCalls 1)'!G8</f>
        <v>Q2 2011</v>
      </c>
      <c r="F278" s="18" t="str">
        <f>'(FnCalls 1)'!G9</f>
        <v>Q3 2011</v>
      </c>
      <c r="G278" s="18" t="str">
        <f>'(FnCalls 1)'!G10</f>
        <v>Q4 2011</v>
      </c>
      <c r="H278" s="62" t="str">
        <f>'(FnCalls 1)'!H7</f>
        <v>2011</v>
      </c>
      <c r="I278" s="18" t="str">
        <f>'(FnCalls 1)'!G11</f>
        <v>Q1 2012</v>
      </c>
      <c r="J278" s="18" t="str">
        <f>'(FnCalls 1)'!G12</f>
        <v>Q2 2012</v>
      </c>
      <c r="K278" s="18" t="str">
        <f>'(FnCalls 1)'!G13</f>
        <v>Q3 2012</v>
      </c>
      <c r="L278" s="18" t="str">
        <f>'(FnCalls 1)'!G14</f>
        <v>Q4 2012</v>
      </c>
      <c r="M278" s="62" t="str">
        <f>'(FnCalls 1)'!H11</f>
        <v>2012</v>
      </c>
    </row>
    <row r="279" spans="1:13" ht="12.75" customHeight="1" x14ac:dyDescent="0.2">
      <c r="A279" s="12"/>
      <c r="B279" s="229">
        <f>1</f>
        <v>1</v>
      </c>
      <c r="C279" s="230">
        <f>B279</f>
        <v>1</v>
      </c>
      <c r="D279" s="229">
        <f>B279/(1+B276)</f>
        <v>0.96566288540065248</v>
      </c>
      <c r="E279" s="229">
        <f>D279/(1+D276)</f>
        <v>0.93250480824031368</v>
      </c>
      <c r="F279" s="229">
        <f>E279/(1+E276)</f>
        <v>0.90048528377532344</v>
      </c>
      <c r="G279" s="229">
        <f>F279/(1+F276)</f>
        <v>0.86956521739130421</v>
      </c>
      <c r="H279" s="230">
        <f>G279</f>
        <v>0.86956521739130421</v>
      </c>
      <c r="I279" s="229">
        <f>G279/(1+G276)</f>
        <v>0.83970685687013247</v>
      </c>
      <c r="J279" s="229">
        <f>I279/(1+I276)</f>
        <v>0.8108737462959249</v>
      </c>
      <c r="K279" s="229">
        <f>J279/(1+J276)</f>
        <v>0.78303068154375954</v>
      </c>
      <c r="L279" s="229">
        <f>K279/(1+K276)</f>
        <v>0.75614366729678628</v>
      </c>
      <c r="M279" s="230">
        <f>L279</f>
        <v>0.75614366729678628</v>
      </c>
    </row>
    <row r="280" spans="1:13" ht="12.75" customHeight="1" x14ac:dyDescent="0.2">
      <c r="A280" s="1" t="str">
        <f>Labels!B110</f>
        <v>Tail Future Value</v>
      </c>
    </row>
    <row r="281" spans="1:13" ht="12.75" customHeight="1" x14ac:dyDescent="0.2">
      <c r="B281" s="62"/>
    </row>
    <row r="282" spans="1:13" ht="12.75" customHeight="1" x14ac:dyDescent="0.2">
      <c r="A282" s="111" t="str">
        <f>Labels!B182</f>
        <v>Catamarans</v>
      </c>
      <c r="B282" s="125">
        <f>'(Compute)'!B190+'(Compute)'!B201</f>
        <v>0</v>
      </c>
    </row>
    <row r="283" spans="1:13" ht="12.75" customHeight="1" x14ac:dyDescent="0.2">
      <c r="A283" s="117" t="str">
        <f>Labels!B183</f>
        <v>Canoes</v>
      </c>
      <c r="B283" s="129">
        <f>'(Compute)'!C190+'(Compute)'!C201</f>
        <v>0</v>
      </c>
    </row>
    <row r="284" spans="1:13" ht="12.75" customHeight="1" x14ac:dyDescent="0.2">
      <c r="A284" s="12" t="str">
        <f>Labels!C181</f>
        <v>Total</v>
      </c>
      <c r="B284" s="109">
        <f>SUM(B282:B283)</f>
        <v>0</v>
      </c>
    </row>
    <row r="285" spans="1:13" ht="12.75" customHeight="1" x14ac:dyDescent="0.2">
      <c r="A285" s="1" t="str">
        <f>Labels!B26</f>
        <v>Cumulative DCF</v>
      </c>
    </row>
    <row r="286" spans="1:13" ht="12.75" customHeight="1" x14ac:dyDescent="0.2">
      <c r="B286" s="17" t="str">
        <f>'(FnCalls 1)'!G6</f>
        <v>Q4 2010</v>
      </c>
      <c r="C286" s="62" t="str">
        <f>'(FnCalls 1)'!H4</f>
        <v>2010</v>
      </c>
      <c r="D286" s="18" t="str">
        <f>'(FnCalls 1)'!G7</f>
        <v>Q1 2011</v>
      </c>
      <c r="E286" s="18" t="str">
        <f>'(FnCalls 1)'!G8</f>
        <v>Q2 2011</v>
      </c>
      <c r="F286" s="18" t="str">
        <f>'(FnCalls 1)'!G9</f>
        <v>Q3 2011</v>
      </c>
      <c r="G286" s="18" t="str">
        <f>'(FnCalls 1)'!G10</f>
        <v>Q4 2011</v>
      </c>
      <c r="H286" s="62" t="str">
        <f>'(FnCalls 1)'!H7</f>
        <v>2011</v>
      </c>
      <c r="I286" s="18" t="str">
        <f>'(FnCalls 1)'!G11</f>
        <v>Q1 2012</v>
      </c>
      <c r="J286" s="18" t="str">
        <f>'(FnCalls 1)'!G12</f>
        <v>Q2 2012</v>
      </c>
      <c r="K286" s="18" t="str">
        <f>'(FnCalls 1)'!G13</f>
        <v>Q3 2012</v>
      </c>
      <c r="L286" s="18" t="str">
        <f>'(FnCalls 1)'!G14</f>
        <v>Q4 2012</v>
      </c>
      <c r="M286" s="62" t="str">
        <f>'(FnCalls 1)'!H11</f>
        <v>2012</v>
      </c>
    </row>
    <row r="287" spans="1:13" ht="12.75" customHeight="1" x14ac:dyDescent="0.2">
      <c r="A287" s="111" t="str">
        <f>Labels!B182</f>
        <v>Catamarans</v>
      </c>
      <c r="B287" s="110">
        <f>0+'Blended Fin'!B199</f>
        <v>0</v>
      </c>
      <c r="C287" s="75">
        <f>B287</f>
        <v>0</v>
      </c>
      <c r="D287" s="110">
        <f>B287+'Blended Fin'!D199</f>
        <v>0</v>
      </c>
      <c r="E287" s="110">
        <f>D287+'Blended Fin'!E199</f>
        <v>0</v>
      </c>
      <c r="F287" s="110">
        <f>E287+'Blended Fin'!F199</f>
        <v>0</v>
      </c>
      <c r="G287" s="110">
        <f>F287+'Blended Fin'!G199</f>
        <v>0</v>
      </c>
      <c r="H287" s="75">
        <f>G287</f>
        <v>0</v>
      </c>
      <c r="I287" s="110">
        <f>G287+'Blended Fin'!I199</f>
        <v>0</v>
      </c>
      <c r="J287" s="110">
        <f>I287+'Blended Fin'!J199</f>
        <v>0</v>
      </c>
      <c r="K287" s="110">
        <f>J287+'Blended Fin'!K199</f>
        <v>0</v>
      </c>
      <c r="L287" s="110">
        <f>K287+'Blended Fin'!L199</f>
        <v>0</v>
      </c>
      <c r="M287" s="75">
        <f>L287</f>
        <v>0</v>
      </c>
    </row>
    <row r="288" spans="1:13" ht="12.75" customHeight="1" x14ac:dyDescent="0.2">
      <c r="A288" s="117" t="str">
        <f>Labels!B183</f>
        <v>Canoes</v>
      </c>
      <c r="B288" s="120">
        <f>0+'Blended Fin'!B200</f>
        <v>0</v>
      </c>
      <c r="C288" s="69">
        <f>B288</f>
        <v>0</v>
      </c>
      <c r="D288" s="120">
        <f>B288+'Blended Fin'!D200</f>
        <v>0</v>
      </c>
      <c r="E288" s="120">
        <f>D288+'Blended Fin'!E200</f>
        <v>0</v>
      </c>
      <c r="F288" s="120">
        <f>E288+'Blended Fin'!F200</f>
        <v>0</v>
      </c>
      <c r="G288" s="120">
        <f>F288+'Blended Fin'!G200</f>
        <v>0</v>
      </c>
      <c r="H288" s="69">
        <f>G288</f>
        <v>0</v>
      </c>
      <c r="I288" s="120">
        <f>G288+'Blended Fin'!I200</f>
        <v>0</v>
      </c>
      <c r="J288" s="120">
        <f>I288+'Blended Fin'!J200</f>
        <v>0</v>
      </c>
      <c r="K288" s="120">
        <f>J288+'Blended Fin'!K200</f>
        <v>0</v>
      </c>
      <c r="L288" s="120">
        <f>K288+'Blended Fin'!L200</f>
        <v>0</v>
      </c>
      <c r="M288" s="69">
        <f>L288</f>
        <v>0</v>
      </c>
    </row>
    <row r="289" spans="1:13" ht="12.75" customHeight="1" x14ac:dyDescent="0.2">
      <c r="A289" s="12" t="str">
        <f>Labels!C181</f>
        <v>Total</v>
      </c>
      <c r="B289" s="107">
        <f>SUM(B287:B288)</f>
        <v>0</v>
      </c>
      <c r="C289" s="108">
        <f>SUM(B287:B288)</f>
        <v>0</v>
      </c>
      <c r="D289" s="107">
        <f>SUM(D287:D288)</f>
        <v>0</v>
      </c>
      <c r="E289" s="107">
        <f>SUM(E287:E288)</f>
        <v>0</v>
      </c>
      <c r="F289" s="107">
        <f>SUM(F287:F288)</f>
        <v>0</v>
      </c>
      <c r="G289" s="107">
        <f>SUM(G287:G288)</f>
        <v>0</v>
      </c>
      <c r="H289" s="108">
        <f>SUM(G287:G288)</f>
        <v>0</v>
      </c>
      <c r="I289" s="107">
        <f>SUM(I287:I288)</f>
        <v>0</v>
      </c>
      <c r="J289" s="107">
        <f>SUM(J287:J288)</f>
        <v>0</v>
      </c>
      <c r="K289" s="107">
        <f>SUM(K287:K288)</f>
        <v>0</v>
      </c>
      <c r="L289" s="107">
        <f>SUM(L287:L288)</f>
        <v>0</v>
      </c>
      <c r="M289" s="108">
        <f>SUM(L287:L288)</f>
        <v>0</v>
      </c>
    </row>
    <row r="291" spans="1:13" ht="12.75" customHeight="1" x14ac:dyDescent="0.2">
      <c r="A291" t="s">
        <v>841</v>
      </c>
      <c r="B291" t="s">
        <v>841</v>
      </c>
      <c r="C291" t="s">
        <v>841</v>
      </c>
      <c r="D291" t="s">
        <v>841</v>
      </c>
      <c r="E291" t="s">
        <v>841</v>
      </c>
      <c r="F291" t="s">
        <v>841</v>
      </c>
      <c r="G291" t="s">
        <v>841</v>
      </c>
      <c r="H291" t="s">
        <v>841</v>
      </c>
      <c r="I291" t="s">
        <v>841</v>
      </c>
      <c r="J291" t="s">
        <v>841</v>
      </c>
      <c r="K291" t="s">
        <v>841</v>
      </c>
      <c r="L291" t="s">
        <v>841</v>
      </c>
      <c r="M291" t="s">
        <v>841</v>
      </c>
    </row>
  </sheetData>
  <mergeCells count="2">
    <mergeCell ref="A1:D1"/>
    <mergeCell ref="A2:D2"/>
  </mergeCells>
  <pageMargins left="0.25" right="0.25" top="0.5" bottom="0.5" header="0.5" footer="0.5"/>
  <pageSetup paperSize="9" fitToHeight="32767" orientation="landscape" horizontalDpi="300" verticalDpi="300"/>
  <headerFooter alignWithMargins="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93"/>
  <sheetViews>
    <sheetView zoomScaleNormal="100" workbookViewId="0"/>
  </sheetViews>
  <sheetFormatPr defaultRowHeight="12.75" customHeight="1" x14ac:dyDescent="0.2"/>
  <cols>
    <col min="1" max="1" width="35.7109375" customWidth="1"/>
    <col min="2" max="2" width="33.42578125" customWidth="1"/>
    <col min="3" max="3" width="16" customWidth="1"/>
    <col min="4" max="4" width="20.5703125" customWidth="1"/>
    <col min="5" max="5" width="60.7109375" style="244" customWidth="1"/>
  </cols>
  <sheetData>
    <row r="1" spans="1:5" ht="12.75" customHeight="1" x14ac:dyDescent="0.2">
      <c r="A1" s="270" t="str">
        <f>Inputs!E7</f>
        <v>ModelSheet Software</v>
      </c>
      <c r="B1" s="270"/>
      <c r="C1" s="270"/>
      <c r="D1" s="270"/>
    </row>
    <row r="2" spans="1:5" ht="12.75" customHeight="1" x14ac:dyDescent="0.2">
      <c r="A2" s="270" t="str">
        <f>Inputs!E9</f>
        <v>Project Test</v>
      </c>
      <c r="B2" s="270"/>
      <c r="C2" s="270"/>
      <c r="D2" s="270"/>
    </row>
    <row r="3" spans="1:5" ht="12.75" customHeight="1" x14ac:dyDescent="0.2">
      <c r="A3" s="231" t="s">
        <v>1061</v>
      </c>
      <c r="B3" s="232">
        <v>40544</v>
      </c>
    </row>
    <row r="5" spans="1:5" ht="12.75" customHeight="1" x14ac:dyDescent="0.2">
      <c r="A5" s="233" t="s">
        <v>846</v>
      </c>
      <c r="B5" s="233" t="s">
        <v>779</v>
      </c>
      <c r="C5" s="233"/>
      <c r="D5" s="233"/>
      <c r="E5" s="242" t="s">
        <v>983</v>
      </c>
    </row>
    <row r="6" spans="1:5" ht="33.75" customHeight="1" x14ac:dyDescent="0.2">
      <c r="A6" s="231" t="s">
        <v>373</v>
      </c>
      <c r="B6" s="234" t="s">
        <v>373</v>
      </c>
      <c r="C6" s="235"/>
      <c r="D6" s="235"/>
      <c r="E6" s="243" t="s">
        <v>1301</v>
      </c>
    </row>
    <row r="7" spans="1:5" ht="22.5" customHeight="1" x14ac:dyDescent="0.2">
      <c r="A7" s="231" t="s">
        <v>438</v>
      </c>
      <c r="B7" s="234" t="s">
        <v>1366</v>
      </c>
      <c r="C7" s="235"/>
      <c r="D7" s="235"/>
      <c r="E7" s="243" t="s">
        <v>559</v>
      </c>
    </row>
    <row r="8" spans="1:5" ht="57" customHeight="1" x14ac:dyDescent="0.2">
      <c r="A8" s="231" t="s">
        <v>429</v>
      </c>
      <c r="B8" s="234" t="s">
        <v>716</v>
      </c>
      <c r="C8" s="235"/>
      <c r="D8" s="235"/>
      <c r="E8" s="243" t="s">
        <v>902</v>
      </c>
    </row>
    <row r="9" spans="1:5" ht="22.5" customHeight="1" x14ac:dyDescent="0.2">
      <c r="A9" s="231" t="s">
        <v>445</v>
      </c>
      <c r="B9" s="234" t="s">
        <v>845</v>
      </c>
      <c r="C9" s="235"/>
      <c r="D9" s="235"/>
      <c r="E9" s="243" t="s">
        <v>1146</v>
      </c>
    </row>
    <row r="10" spans="1:5" ht="12.75" customHeight="1" x14ac:dyDescent="0.2">
      <c r="A10" s="231" t="s">
        <v>330</v>
      </c>
      <c r="B10" s="234" t="s">
        <v>1086</v>
      </c>
      <c r="C10" s="235"/>
      <c r="D10" s="235"/>
      <c r="E10" s="243" t="s">
        <v>1204</v>
      </c>
    </row>
    <row r="11" spans="1:5" ht="45.75" customHeight="1" x14ac:dyDescent="0.2">
      <c r="A11" s="231" t="s">
        <v>327</v>
      </c>
      <c r="B11" s="234" t="s">
        <v>1053</v>
      </c>
      <c r="C11" s="235"/>
      <c r="D11" s="235"/>
      <c r="E11" s="243" t="s">
        <v>1280</v>
      </c>
    </row>
    <row r="12" spans="1:5" ht="68.25" customHeight="1" x14ac:dyDescent="0.2">
      <c r="A12" s="231" t="s">
        <v>221</v>
      </c>
      <c r="B12" s="234" t="s">
        <v>176</v>
      </c>
      <c r="C12" s="235"/>
      <c r="D12" s="235"/>
      <c r="E12" s="243" t="s">
        <v>509</v>
      </c>
    </row>
    <row r="13" spans="1:5" ht="22.5" customHeight="1" x14ac:dyDescent="0.2">
      <c r="A13" s="231" t="s">
        <v>342</v>
      </c>
      <c r="B13" s="234" t="s">
        <v>1018</v>
      </c>
      <c r="C13" s="235"/>
      <c r="D13" s="235"/>
      <c r="E13" s="243" t="s">
        <v>648</v>
      </c>
    </row>
    <row r="14" spans="1:5" ht="57" customHeight="1" x14ac:dyDescent="0.2">
      <c r="A14" s="231" t="s">
        <v>85</v>
      </c>
      <c r="B14" s="234" t="s">
        <v>1087</v>
      </c>
      <c r="C14" s="235"/>
      <c r="D14" s="235"/>
      <c r="E14" s="243" t="s">
        <v>735</v>
      </c>
    </row>
    <row r="15" spans="1:5" ht="22.5" customHeight="1" x14ac:dyDescent="0.2">
      <c r="A15" s="231" t="s">
        <v>1299</v>
      </c>
      <c r="B15" s="234" t="s">
        <v>1227</v>
      </c>
      <c r="C15" s="235"/>
      <c r="D15" s="235"/>
      <c r="E15" s="243" t="s">
        <v>1535</v>
      </c>
    </row>
    <row r="16" spans="1:5" ht="33.75" customHeight="1" x14ac:dyDescent="0.2">
      <c r="A16" s="231" t="s">
        <v>618</v>
      </c>
      <c r="B16" s="234" t="s">
        <v>480</v>
      </c>
      <c r="C16" s="235"/>
      <c r="D16" s="235"/>
      <c r="E16" s="243" t="s">
        <v>10</v>
      </c>
    </row>
    <row r="17" spans="1:5" ht="33.75" customHeight="1" x14ac:dyDescent="0.2">
      <c r="A17" s="231" t="s">
        <v>48</v>
      </c>
      <c r="B17" s="234" t="s">
        <v>1233</v>
      </c>
      <c r="C17" s="235"/>
      <c r="D17" s="235"/>
      <c r="E17" s="243" t="s">
        <v>640</v>
      </c>
    </row>
    <row r="18" spans="1:5" ht="22.5" customHeight="1" x14ac:dyDescent="0.2">
      <c r="A18" s="231" t="s">
        <v>1148</v>
      </c>
      <c r="B18" s="234" t="s">
        <v>1476</v>
      </c>
      <c r="C18" s="235"/>
      <c r="D18" s="235"/>
      <c r="E18" s="243" t="s">
        <v>1528</v>
      </c>
    </row>
    <row r="19" spans="1:5" ht="33.75" customHeight="1" x14ac:dyDescent="0.2">
      <c r="A19" s="231" t="s">
        <v>1550</v>
      </c>
      <c r="B19" s="234" t="s">
        <v>1476</v>
      </c>
      <c r="C19" s="235"/>
      <c r="D19" s="235"/>
      <c r="E19" s="243" t="s">
        <v>395</v>
      </c>
    </row>
    <row r="20" spans="1:5" ht="33.75" customHeight="1" x14ac:dyDescent="0.2">
      <c r="A20" s="231" t="s">
        <v>887</v>
      </c>
      <c r="B20" s="234" t="s">
        <v>1087</v>
      </c>
      <c r="C20" s="235"/>
      <c r="D20" s="235"/>
      <c r="E20" s="243" t="s">
        <v>1043</v>
      </c>
    </row>
    <row r="21" spans="1:5" ht="45.75" customHeight="1" x14ac:dyDescent="0.2">
      <c r="A21" s="231" t="s">
        <v>1013</v>
      </c>
      <c r="B21" s="234" t="s">
        <v>764</v>
      </c>
      <c r="C21" s="235"/>
      <c r="D21" s="235"/>
      <c r="E21" s="243" t="s">
        <v>1035</v>
      </c>
    </row>
    <row r="22" spans="1:5" ht="12.75" customHeight="1" x14ac:dyDescent="0.2">
      <c r="A22" s="231" t="s">
        <v>274</v>
      </c>
      <c r="B22" s="234" t="s">
        <v>164</v>
      </c>
      <c r="C22" s="235"/>
      <c r="D22" s="235"/>
      <c r="E22" s="243" t="s">
        <v>1048</v>
      </c>
    </row>
    <row r="23" spans="1:5" ht="12.75" customHeight="1" x14ac:dyDescent="0.2">
      <c r="A23" s="231" t="s">
        <v>83</v>
      </c>
      <c r="B23" s="234" t="s">
        <v>964</v>
      </c>
      <c r="C23" s="235"/>
      <c r="D23" s="235"/>
      <c r="E23" s="243" t="s">
        <v>967</v>
      </c>
    </row>
    <row r="24" spans="1:5" ht="12.75" customHeight="1" x14ac:dyDescent="0.2">
      <c r="A24" s="231" t="s">
        <v>1533</v>
      </c>
      <c r="B24" s="234" t="s">
        <v>482</v>
      </c>
      <c r="C24" s="235"/>
      <c r="D24" s="235"/>
      <c r="E24" s="243" t="s">
        <v>967</v>
      </c>
    </row>
    <row r="25" spans="1:5" ht="12.75" customHeight="1" x14ac:dyDescent="0.2">
      <c r="A25" s="231" t="s">
        <v>1530</v>
      </c>
      <c r="B25" s="234" t="s">
        <v>1516</v>
      </c>
      <c r="C25" s="235"/>
      <c r="D25" s="235"/>
      <c r="E25" s="243" t="s">
        <v>426</v>
      </c>
    </row>
    <row r="26" spans="1:5" ht="22.5" customHeight="1" x14ac:dyDescent="0.2">
      <c r="A26" s="231" t="s">
        <v>1362</v>
      </c>
      <c r="B26" s="234" t="s">
        <v>669</v>
      </c>
      <c r="C26" s="235"/>
      <c r="D26" s="235"/>
      <c r="E26" s="243" t="s">
        <v>1128</v>
      </c>
    </row>
    <row r="27" spans="1:5" ht="45.75" customHeight="1" x14ac:dyDescent="0.2">
      <c r="A27" s="231" t="s">
        <v>1551</v>
      </c>
      <c r="B27" s="234" t="s">
        <v>481</v>
      </c>
      <c r="C27" s="235"/>
      <c r="D27" s="235"/>
      <c r="E27" s="243" t="s">
        <v>1215</v>
      </c>
    </row>
    <row r="28" spans="1:5" ht="22.5" customHeight="1" x14ac:dyDescent="0.2">
      <c r="A28" s="231" t="s">
        <v>293</v>
      </c>
      <c r="B28" s="234" t="s">
        <v>798</v>
      </c>
      <c r="C28" s="235"/>
      <c r="D28" s="235"/>
      <c r="E28" s="243" t="s">
        <v>806</v>
      </c>
    </row>
    <row r="29" spans="1:5" ht="45.75" customHeight="1" x14ac:dyDescent="0.2">
      <c r="A29" s="231" t="s">
        <v>65</v>
      </c>
      <c r="B29" s="234" t="s">
        <v>181</v>
      </c>
      <c r="C29" s="235"/>
      <c r="D29" s="235"/>
      <c r="E29" s="243" t="s">
        <v>564</v>
      </c>
    </row>
    <row r="30" spans="1:5" ht="33.75" customHeight="1" x14ac:dyDescent="0.2">
      <c r="A30" s="231" t="s">
        <v>1063</v>
      </c>
      <c r="B30" s="234" t="s">
        <v>1093</v>
      </c>
      <c r="C30" s="235"/>
      <c r="D30" s="235"/>
      <c r="E30" s="243" t="s">
        <v>67</v>
      </c>
    </row>
    <row r="31" spans="1:5" ht="33.75" customHeight="1" x14ac:dyDescent="0.2">
      <c r="A31" s="231" t="s">
        <v>1176</v>
      </c>
      <c r="B31" s="234" t="s">
        <v>918</v>
      </c>
      <c r="C31" s="235"/>
      <c r="D31" s="235"/>
      <c r="E31" s="243" t="s">
        <v>397</v>
      </c>
    </row>
    <row r="32" spans="1:5" ht="12.75" customHeight="1" x14ac:dyDescent="0.2">
      <c r="A32" s="231" t="s">
        <v>627</v>
      </c>
      <c r="B32" s="234" t="s">
        <v>512</v>
      </c>
      <c r="C32" s="235"/>
      <c r="D32" s="235"/>
      <c r="E32" s="243" t="s">
        <v>639</v>
      </c>
    </row>
    <row r="33" spans="1:5" ht="33.75" customHeight="1" x14ac:dyDescent="0.2">
      <c r="A33" s="231" t="s">
        <v>784</v>
      </c>
      <c r="B33" s="234" t="s">
        <v>976</v>
      </c>
      <c r="C33" s="235"/>
      <c r="D33" s="235"/>
      <c r="E33" s="243" t="s">
        <v>603</v>
      </c>
    </row>
    <row r="34" spans="1:5" ht="33.75" customHeight="1" x14ac:dyDescent="0.2">
      <c r="A34" s="231" t="s">
        <v>11</v>
      </c>
      <c r="B34" s="234" t="s">
        <v>185</v>
      </c>
      <c r="C34" s="235"/>
      <c r="D34" s="235"/>
      <c r="E34" s="243" t="s">
        <v>868</v>
      </c>
    </row>
    <row r="35" spans="1:5" ht="22.5" customHeight="1" x14ac:dyDescent="0.2">
      <c r="A35" s="231" t="s">
        <v>343</v>
      </c>
      <c r="B35" s="234" t="s">
        <v>185</v>
      </c>
      <c r="C35" s="235"/>
      <c r="D35" s="235"/>
      <c r="E35" s="243" t="s">
        <v>139</v>
      </c>
    </row>
    <row r="36" spans="1:5" ht="22.5" customHeight="1" x14ac:dyDescent="0.2">
      <c r="A36" s="231" t="s">
        <v>1328</v>
      </c>
      <c r="B36" s="234" t="s">
        <v>700</v>
      </c>
      <c r="C36" s="235"/>
      <c r="D36" s="235"/>
      <c r="E36" s="243" t="s">
        <v>647</v>
      </c>
    </row>
    <row r="37" spans="1:5" ht="12.75" customHeight="1" x14ac:dyDescent="0.2">
      <c r="A37" s="231" t="s">
        <v>28</v>
      </c>
      <c r="B37" s="234" t="s">
        <v>174</v>
      </c>
      <c r="C37" s="235"/>
      <c r="D37" s="235"/>
      <c r="E37" s="243" t="s">
        <v>263</v>
      </c>
    </row>
    <row r="38" spans="1:5" ht="12.75" customHeight="1" x14ac:dyDescent="0.2">
      <c r="A38" s="231" t="s">
        <v>473</v>
      </c>
      <c r="B38" s="234" t="s">
        <v>1044</v>
      </c>
      <c r="C38" s="235"/>
      <c r="D38" s="235"/>
      <c r="E38" s="243" t="s">
        <v>820</v>
      </c>
    </row>
    <row r="39" spans="1:5" ht="22.5" customHeight="1" x14ac:dyDescent="0.2">
      <c r="A39" s="231" t="s">
        <v>879</v>
      </c>
      <c r="B39" s="234" t="s">
        <v>547</v>
      </c>
      <c r="C39" s="235"/>
      <c r="D39" s="235"/>
      <c r="E39" s="243" t="s">
        <v>890</v>
      </c>
    </row>
    <row r="40" spans="1:5" ht="22.5" customHeight="1" x14ac:dyDescent="0.2">
      <c r="A40" s="231" t="s">
        <v>672</v>
      </c>
      <c r="B40" s="234" t="s">
        <v>371</v>
      </c>
      <c r="C40" s="235"/>
      <c r="D40" s="235"/>
      <c r="E40" s="243" t="s">
        <v>1298</v>
      </c>
    </row>
    <row r="41" spans="1:5" ht="45.75" customHeight="1" x14ac:dyDescent="0.2">
      <c r="A41" s="231" t="s">
        <v>586</v>
      </c>
      <c r="B41" s="234" t="s">
        <v>236</v>
      </c>
      <c r="C41" s="235"/>
      <c r="D41" s="235"/>
      <c r="E41" s="243" t="s">
        <v>869</v>
      </c>
    </row>
    <row r="42" spans="1:5" ht="45.75" customHeight="1" x14ac:dyDescent="0.2">
      <c r="A42" s="231" t="s">
        <v>940</v>
      </c>
      <c r="B42" s="234" t="s">
        <v>1435</v>
      </c>
      <c r="C42" s="235"/>
      <c r="D42" s="235"/>
      <c r="E42" s="243" t="s">
        <v>290</v>
      </c>
    </row>
    <row r="43" spans="1:5" ht="12.75" customHeight="1" x14ac:dyDescent="0.2">
      <c r="A43" s="231" t="s">
        <v>105</v>
      </c>
      <c r="B43" s="234" t="s">
        <v>193</v>
      </c>
      <c r="C43" s="235"/>
      <c r="D43" s="235"/>
      <c r="E43" s="243" t="s">
        <v>1307</v>
      </c>
    </row>
    <row r="44" spans="1:5" ht="57" customHeight="1" x14ac:dyDescent="0.2">
      <c r="A44" s="231" t="s">
        <v>128</v>
      </c>
      <c r="B44" s="234" t="s">
        <v>694</v>
      </c>
      <c r="C44" s="235"/>
      <c r="D44" s="235"/>
      <c r="E44" s="243" t="s">
        <v>17</v>
      </c>
    </row>
    <row r="45" spans="1:5" ht="12.75" customHeight="1" x14ac:dyDescent="0.2">
      <c r="A45" s="231" t="s">
        <v>826</v>
      </c>
      <c r="B45" s="234" t="s">
        <v>826</v>
      </c>
      <c r="C45" s="235"/>
      <c r="D45" s="235"/>
      <c r="E45" s="243" t="s">
        <v>270</v>
      </c>
    </row>
    <row r="46" spans="1:5" ht="12.75" customHeight="1" x14ac:dyDescent="0.2">
      <c r="A46" s="231" t="s">
        <v>1444</v>
      </c>
      <c r="B46" s="234" t="s">
        <v>826</v>
      </c>
      <c r="C46" s="235"/>
      <c r="D46" s="235"/>
      <c r="E46" s="243" t="s">
        <v>369</v>
      </c>
    </row>
    <row r="47" spans="1:5" ht="33.75" customHeight="1" x14ac:dyDescent="0.2">
      <c r="A47" s="231" t="s">
        <v>380</v>
      </c>
      <c r="B47" s="234" t="s">
        <v>380</v>
      </c>
      <c r="C47" s="235"/>
      <c r="D47" s="235"/>
      <c r="E47" s="243" t="s">
        <v>1548</v>
      </c>
    </row>
    <row r="48" spans="1:5" ht="57" customHeight="1" x14ac:dyDescent="0.2">
      <c r="A48" s="231" t="s">
        <v>257</v>
      </c>
      <c r="B48" s="234" t="s">
        <v>380</v>
      </c>
      <c r="C48" s="235"/>
      <c r="D48" s="235"/>
      <c r="E48" s="243" t="s">
        <v>524</v>
      </c>
    </row>
    <row r="49" spans="1:5" ht="79.5" customHeight="1" x14ac:dyDescent="0.2">
      <c r="A49" s="231" t="s">
        <v>995</v>
      </c>
      <c r="B49" s="234" t="s">
        <v>1507</v>
      </c>
      <c r="C49" s="235"/>
      <c r="D49" s="235"/>
      <c r="E49" s="243" t="s">
        <v>319</v>
      </c>
    </row>
    <row r="50" spans="1:5" ht="33.75" customHeight="1" x14ac:dyDescent="0.2">
      <c r="A50" s="231" t="s">
        <v>1026</v>
      </c>
      <c r="B50" s="234" t="s">
        <v>1191</v>
      </c>
      <c r="C50" s="235"/>
      <c r="D50" s="235"/>
      <c r="E50" s="243" t="s">
        <v>1588</v>
      </c>
    </row>
    <row r="51" spans="1:5" ht="33.75" customHeight="1" x14ac:dyDescent="0.2">
      <c r="A51" s="231" t="s">
        <v>1547</v>
      </c>
      <c r="B51" s="234" t="s">
        <v>460</v>
      </c>
      <c r="C51" s="235"/>
      <c r="D51" s="235"/>
      <c r="E51" s="243" t="s">
        <v>1360</v>
      </c>
    </row>
    <row r="52" spans="1:5" ht="33.75" customHeight="1" x14ac:dyDescent="0.2">
      <c r="A52" s="231" t="s">
        <v>865</v>
      </c>
      <c r="B52" s="234" t="s">
        <v>944</v>
      </c>
      <c r="C52" s="235"/>
      <c r="D52" s="235"/>
      <c r="E52" s="243" t="s">
        <v>550</v>
      </c>
    </row>
    <row r="53" spans="1:5" ht="68.25" customHeight="1" x14ac:dyDescent="0.2">
      <c r="A53" s="231" t="s">
        <v>1114</v>
      </c>
      <c r="B53" s="234" t="s">
        <v>1502</v>
      </c>
      <c r="C53" s="235"/>
      <c r="D53" s="235"/>
      <c r="E53" s="243" t="s">
        <v>49</v>
      </c>
    </row>
    <row r="54" spans="1:5" ht="22.5" customHeight="1" x14ac:dyDescent="0.2">
      <c r="A54" s="231" t="s">
        <v>539</v>
      </c>
      <c r="B54" s="234" t="s">
        <v>864</v>
      </c>
      <c r="C54" s="235"/>
      <c r="D54" s="235"/>
      <c r="E54" s="243" t="s">
        <v>1271</v>
      </c>
    </row>
    <row r="55" spans="1:5" ht="22.5" customHeight="1" x14ac:dyDescent="0.2">
      <c r="A55" s="231" t="s">
        <v>458</v>
      </c>
      <c r="B55" s="234" t="s">
        <v>822</v>
      </c>
      <c r="C55" s="235"/>
      <c r="D55" s="235"/>
      <c r="E55" s="243" t="s">
        <v>1112</v>
      </c>
    </row>
    <row r="56" spans="1:5" ht="57" customHeight="1" x14ac:dyDescent="0.2">
      <c r="A56" s="231" t="s">
        <v>454</v>
      </c>
      <c r="B56" s="234" t="s">
        <v>1075</v>
      </c>
      <c r="C56" s="235"/>
      <c r="D56" s="235"/>
      <c r="E56" s="243" t="s">
        <v>1377</v>
      </c>
    </row>
    <row r="57" spans="1:5" ht="68.25" customHeight="1" x14ac:dyDescent="0.2">
      <c r="A57" s="231" t="s">
        <v>1129</v>
      </c>
      <c r="B57" s="234" t="s">
        <v>1075</v>
      </c>
      <c r="C57" s="235"/>
      <c r="D57" s="235"/>
      <c r="E57" s="243" t="s">
        <v>222</v>
      </c>
    </row>
    <row r="58" spans="1:5" ht="33.75" customHeight="1" x14ac:dyDescent="0.2">
      <c r="A58" s="231" t="s">
        <v>650</v>
      </c>
      <c r="B58" s="234" t="s">
        <v>717</v>
      </c>
      <c r="C58" s="235"/>
      <c r="D58" s="235"/>
      <c r="E58" s="243" t="s">
        <v>167</v>
      </c>
    </row>
    <row r="59" spans="1:5" ht="33.75" customHeight="1" x14ac:dyDescent="0.2">
      <c r="A59" s="231" t="s">
        <v>677</v>
      </c>
      <c r="B59" s="234" t="s">
        <v>1416</v>
      </c>
      <c r="C59" s="235"/>
      <c r="D59" s="235"/>
      <c r="E59" s="243" t="s">
        <v>1553</v>
      </c>
    </row>
    <row r="60" spans="1:5" ht="12.75" customHeight="1" x14ac:dyDescent="0.2">
      <c r="A60" s="231" t="s">
        <v>705</v>
      </c>
      <c r="B60" s="234" t="s">
        <v>441</v>
      </c>
      <c r="C60" s="235"/>
      <c r="D60" s="235"/>
      <c r="E60" s="243" t="s">
        <v>277</v>
      </c>
    </row>
    <row r="61" spans="1:5" ht="68.25" customHeight="1" x14ac:dyDescent="0.2">
      <c r="A61" s="231" t="s">
        <v>776</v>
      </c>
      <c r="B61" s="234" t="s">
        <v>778</v>
      </c>
      <c r="C61" s="235"/>
      <c r="D61" s="235"/>
      <c r="E61" s="243" t="s">
        <v>748</v>
      </c>
    </row>
    <row r="62" spans="1:5" ht="12.75" customHeight="1" x14ac:dyDescent="0.2">
      <c r="A62" s="231" t="s">
        <v>1578</v>
      </c>
      <c r="B62" s="234" t="s">
        <v>660</v>
      </c>
      <c r="C62" s="235"/>
      <c r="D62" s="235"/>
      <c r="E62" s="243" t="s">
        <v>655</v>
      </c>
    </row>
    <row r="63" spans="1:5" ht="22.5" customHeight="1" x14ac:dyDescent="0.2">
      <c r="A63" s="231" t="s">
        <v>913</v>
      </c>
      <c r="B63" s="234" t="s">
        <v>391</v>
      </c>
      <c r="C63" s="235"/>
      <c r="D63" s="235"/>
      <c r="E63" s="243" t="s">
        <v>95</v>
      </c>
    </row>
    <row r="64" spans="1:5" ht="22.5" customHeight="1" x14ac:dyDescent="0.2">
      <c r="A64" s="231" t="s">
        <v>0</v>
      </c>
      <c r="B64" s="234" t="s">
        <v>362</v>
      </c>
      <c r="C64" s="235"/>
      <c r="D64" s="235"/>
      <c r="E64" s="243" t="s">
        <v>95</v>
      </c>
    </row>
    <row r="65" spans="1:5" ht="12.75" customHeight="1" x14ac:dyDescent="0.2">
      <c r="A65" s="231" t="s">
        <v>1016</v>
      </c>
      <c r="B65" s="234" t="s">
        <v>1169</v>
      </c>
      <c r="C65" s="235"/>
      <c r="D65" s="235"/>
      <c r="E65" s="243" t="s">
        <v>1500</v>
      </c>
    </row>
    <row r="66" spans="1:5" ht="12.75" customHeight="1" x14ac:dyDescent="0.2">
      <c r="A66" s="231" t="s">
        <v>1396</v>
      </c>
      <c r="B66" s="234" t="s">
        <v>220</v>
      </c>
      <c r="C66" s="235"/>
      <c r="D66" s="235"/>
      <c r="E66" s="243" t="s">
        <v>1104</v>
      </c>
    </row>
    <row r="67" spans="1:5" ht="33.75" customHeight="1" x14ac:dyDescent="0.2">
      <c r="A67" s="231" t="s">
        <v>206</v>
      </c>
      <c r="B67" s="234" t="s">
        <v>996</v>
      </c>
      <c r="C67" s="235"/>
      <c r="D67" s="235"/>
      <c r="E67" s="243" t="s">
        <v>1329</v>
      </c>
    </row>
    <row r="68" spans="1:5" ht="79.5" customHeight="1" x14ac:dyDescent="0.2">
      <c r="A68" s="231" t="s">
        <v>1349</v>
      </c>
      <c r="B68" s="234" t="s">
        <v>1330</v>
      </c>
      <c r="C68" s="235"/>
      <c r="D68" s="235"/>
      <c r="E68" s="243" t="s">
        <v>767</v>
      </c>
    </row>
    <row r="69" spans="1:5" ht="57" customHeight="1" x14ac:dyDescent="0.2">
      <c r="A69" s="231" t="s">
        <v>1456</v>
      </c>
      <c r="B69" s="234" t="s">
        <v>656</v>
      </c>
      <c r="C69" s="235"/>
      <c r="D69" s="235"/>
      <c r="E69" s="243" t="s">
        <v>591</v>
      </c>
    </row>
    <row r="70" spans="1:5" ht="68.25" customHeight="1" x14ac:dyDescent="0.2">
      <c r="A70" s="231" t="s">
        <v>1374</v>
      </c>
      <c r="B70" s="234" t="s">
        <v>1539</v>
      </c>
      <c r="C70" s="235"/>
      <c r="D70" s="235"/>
      <c r="E70" s="243" t="s">
        <v>631</v>
      </c>
    </row>
    <row r="71" spans="1:5" ht="22.5" customHeight="1" x14ac:dyDescent="0.2">
      <c r="A71" s="231" t="s">
        <v>1117</v>
      </c>
      <c r="B71" s="234" t="s">
        <v>932</v>
      </c>
      <c r="C71" s="235"/>
      <c r="D71" s="235"/>
      <c r="E71" s="243" t="s">
        <v>111</v>
      </c>
    </row>
    <row r="72" spans="1:5" ht="45.75" customHeight="1" x14ac:dyDescent="0.2">
      <c r="A72" s="231" t="s">
        <v>368</v>
      </c>
      <c r="B72" s="234" t="s">
        <v>1127</v>
      </c>
      <c r="C72" s="235"/>
      <c r="D72" s="235"/>
      <c r="E72" s="243" t="s">
        <v>138</v>
      </c>
    </row>
    <row r="73" spans="1:5" ht="33.75" customHeight="1" x14ac:dyDescent="0.2">
      <c r="A73" s="231" t="s">
        <v>1364</v>
      </c>
      <c r="B73" s="234" t="s">
        <v>543</v>
      </c>
      <c r="C73" s="235"/>
      <c r="D73" s="235"/>
      <c r="E73" s="243" t="s">
        <v>1073</v>
      </c>
    </row>
    <row r="74" spans="1:5" ht="33.75" customHeight="1" x14ac:dyDescent="0.2">
      <c r="A74" s="231" t="s">
        <v>247</v>
      </c>
      <c r="B74" s="234" t="s">
        <v>1136</v>
      </c>
      <c r="C74" s="235"/>
      <c r="D74" s="235"/>
      <c r="E74" s="243" t="s">
        <v>1073</v>
      </c>
    </row>
    <row r="75" spans="1:5" ht="12.75" customHeight="1" x14ac:dyDescent="0.2">
      <c r="A75" s="231" t="s">
        <v>1604</v>
      </c>
      <c r="B75" s="234" t="s">
        <v>1448</v>
      </c>
      <c r="C75" s="235"/>
      <c r="D75" s="235"/>
      <c r="E75" s="243"/>
    </row>
    <row r="76" spans="1:5" ht="33.75" customHeight="1" x14ac:dyDescent="0.2">
      <c r="A76" s="231" t="s">
        <v>106</v>
      </c>
      <c r="B76" s="234" t="s">
        <v>316</v>
      </c>
      <c r="C76" s="235"/>
      <c r="D76" s="235"/>
      <c r="E76" s="243" t="s">
        <v>875</v>
      </c>
    </row>
    <row r="77" spans="1:5" ht="12.75" customHeight="1" x14ac:dyDescent="0.2">
      <c r="A77" s="231" t="s">
        <v>945</v>
      </c>
      <c r="B77" s="234" t="s">
        <v>1256</v>
      </c>
      <c r="C77" s="235"/>
      <c r="D77" s="235"/>
      <c r="E77" s="243" t="s">
        <v>619</v>
      </c>
    </row>
    <row r="78" spans="1:5" ht="33.75" customHeight="1" x14ac:dyDescent="0.2">
      <c r="A78" s="231" t="s">
        <v>575</v>
      </c>
      <c r="B78" s="234" t="s">
        <v>1160</v>
      </c>
      <c r="C78" s="235"/>
      <c r="D78" s="235"/>
      <c r="E78" s="243" t="s">
        <v>227</v>
      </c>
    </row>
    <row r="79" spans="1:5" ht="22.5" customHeight="1" x14ac:dyDescent="0.2">
      <c r="A79" s="231" t="s">
        <v>112</v>
      </c>
      <c r="B79" s="234" t="s">
        <v>22</v>
      </c>
      <c r="C79" s="235"/>
      <c r="D79" s="235"/>
      <c r="E79" s="243" t="s">
        <v>891</v>
      </c>
    </row>
    <row r="80" spans="1:5" ht="57" customHeight="1" x14ac:dyDescent="0.2">
      <c r="A80" s="231" t="s">
        <v>1281</v>
      </c>
      <c r="B80" s="234" t="s">
        <v>587</v>
      </c>
      <c r="C80" s="235"/>
      <c r="D80" s="235"/>
      <c r="E80" s="243" t="s">
        <v>162</v>
      </c>
    </row>
    <row r="81" spans="1:5" ht="57" customHeight="1" x14ac:dyDescent="0.2">
      <c r="A81" s="231" t="s">
        <v>208</v>
      </c>
      <c r="B81" s="234" t="s">
        <v>587</v>
      </c>
      <c r="C81" s="235"/>
      <c r="D81" s="235"/>
      <c r="E81" s="243" t="s">
        <v>1447</v>
      </c>
    </row>
    <row r="82" spans="1:5" ht="45.75" customHeight="1" x14ac:dyDescent="0.2">
      <c r="A82" s="231" t="s">
        <v>1517</v>
      </c>
      <c r="B82" s="234" t="s">
        <v>283</v>
      </c>
      <c r="C82" s="235"/>
      <c r="D82" s="235"/>
      <c r="E82" s="243" t="s">
        <v>1434</v>
      </c>
    </row>
    <row r="83" spans="1:5" ht="45.75" customHeight="1" x14ac:dyDescent="0.2">
      <c r="A83" s="231" t="s">
        <v>419</v>
      </c>
      <c r="B83" s="234" t="s">
        <v>283</v>
      </c>
      <c r="C83" s="235"/>
      <c r="D83" s="235"/>
      <c r="E83" s="243" t="s">
        <v>765</v>
      </c>
    </row>
    <row r="84" spans="1:5" ht="45.75" customHeight="1" x14ac:dyDescent="0.2">
      <c r="A84" s="231" t="s">
        <v>260</v>
      </c>
      <c r="B84" s="234" t="s">
        <v>1260</v>
      </c>
      <c r="C84" s="235"/>
      <c r="D84" s="235"/>
      <c r="E84" s="243" t="s">
        <v>453</v>
      </c>
    </row>
    <row r="85" spans="1:5" ht="22.5" customHeight="1" x14ac:dyDescent="0.2">
      <c r="A85" s="231" t="s">
        <v>1184</v>
      </c>
      <c r="B85" s="234" t="s">
        <v>1260</v>
      </c>
      <c r="C85" s="235"/>
      <c r="D85" s="235"/>
      <c r="E85" s="243" t="s">
        <v>1361</v>
      </c>
    </row>
    <row r="86" spans="1:5" ht="33.75" customHeight="1" x14ac:dyDescent="0.2">
      <c r="A86" s="231" t="s">
        <v>837</v>
      </c>
      <c r="B86" s="234" t="s">
        <v>361</v>
      </c>
      <c r="C86" s="235"/>
      <c r="D86" s="235"/>
      <c r="E86" s="243" t="s">
        <v>150</v>
      </c>
    </row>
    <row r="87" spans="1:5" ht="79.5" customHeight="1" x14ac:dyDescent="0.2">
      <c r="A87" s="231" t="s">
        <v>1139</v>
      </c>
      <c r="B87" s="234" t="s">
        <v>1028</v>
      </c>
      <c r="C87" s="235"/>
      <c r="D87" s="235"/>
      <c r="E87" s="243" t="s">
        <v>116</v>
      </c>
    </row>
    <row r="88" spans="1:5" ht="22.5" customHeight="1" x14ac:dyDescent="0.2">
      <c r="A88" s="231" t="s">
        <v>1266</v>
      </c>
      <c r="B88" s="234" t="s">
        <v>172</v>
      </c>
      <c r="C88" s="235"/>
      <c r="D88" s="235"/>
      <c r="E88" s="243" t="s">
        <v>1599</v>
      </c>
    </row>
    <row r="89" spans="1:5" ht="136.5" customHeight="1" x14ac:dyDescent="0.2">
      <c r="A89" s="231" t="s">
        <v>418</v>
      </c>
      <c r="B89" s="234" t="s">
        <v>759</v>
      </c>
      <c r="C89" s="235"/>
      <c r="D89" s="235"/>
      <c r="E89" s="243" t="s">
        <v>1411</v>
      </c>
    </row>
    <row r="90" spans="1:5" ht="22.5" customHeight="1" x14ac:dyDescent="0.2">
      <c r="A90" s="231" t="s">
        <v>849</v>
      </c>
      <c r="B90" s="234" t="s">
        <v>1523</v>
      </c>
      <c r="C90" s="235"/>
      <c r="D90" s="235"/>
      <c r="E90" s="243" t="s">
        <v>1006</v>
      </c>
    </row>
    <row r="91" spans="1:5" ht="45.75" customHeight="1" x14ac:dyDescent="0.2">
      <c r="A91" s="231" t="s">
        <v>1559</v>
      </c>
      <c r="B91" s="234" t="s">
        <v>805</v>
      </c>
      <c r="C91" s="235"/>
      <c r="D91" s="235"/>
      <c r="E91" s="243" t="s">
        <v>1598</v>
      </c>
    </row>
    <row r="92" spans="1:5" ht="12.75" customHeight="1" x14ac:dyDescent="0.2">
      <c r="A92" s="231" t="s">
        <v>1055</v>
      </c>
      <c r="B92" s="234" t="s">
        <v>525</v>
      </c>
      <c r="C92" s="235"/>
      <c r="D92" s="235"/>
      <c r="E92" s="243" t="s">
        <v>1224</v>
      </c>
    </row>
    <row r="93" spans="1:5" ht="12.75" customHeight="1" x14ac:dyDescent="0.2">
      <c r="A93" s="231" t="s">
        <v>1305</v>
      </c>
      <c r="B93" s="234" t="s">
        <v>687</v>
      </c>
      <c r="C93" s="235"/>
      <c r="D93" s="235"/>
      <c r="E93" s="243" t="s">
        <v>1389</v>
      </c>
    </row>
    <row r="94" spans="1:5" ht="22.5" customHeight="1" x14ac:dyDescent="0.2">
      <c r="A94" s="231" t="s">
        <v>1251</v>
      </c>
      <c r="B94" s="234" t="s">
        <v>1573</v>
      </c>
      <c r="C94" s="235"/>
      <c r="D94" s="235"/>
      <c r="E94" s="243" t="s">
        <v>710</v>
      </c>
    </row>
    <row r="95" spans="1:5" ht="12.75" customHeight="1" x14ac:dyDescent="0.2">
      <c r="A95" s="231" t="s">
        <v>1309</v>
      </c>
      <c r="B95" s="234" t="s">
        <v>613</v>
      </c>
      <c r="C95" s="235"/>
      <c r="D95" s="235"/>
      <c r="E95" s="243" t="s">
        <v>734</v>
      </c>
    </row>
    <row r="96" spans="1:5" ht="22.5" customHeight="1" x14ac:dyDescent="0.2">
      <c r="A96" s="231" t="s">
        <v>881</v>
      </c>
      <c r="B96" s="234" t="s">
        <v>852</v>
      </c>
      <c r="C96" s="235"/>
      <c r="D96" s="235"/>
      <c r="E96" s="243" t="s">
        <v>1096</v>
      </c>
    </row>
    <row r="97" spans="1:5" ht="12.75" customHeight="1" x14ac:dyDescent="0.2">
      <c r="A97" s="231" t="s">
        <v>1320</v>
      </c>
      <c r="B97" s="234" t="s">
        <v>1520</v>
      </c>
      <c r="C97" s="235"/>
      <c r="D97" s="235"/>
      <c r="E97" s="243" t="s">
        <v>1131</v>
      </c>
    </row>
    <row r="98" spans="1:5" ht="57" customHeight="1" x14ac:dyDescent="0.2">
      <c r="A98" s="231" t="s">
        <v>223</v>
      </c>
      <c r="B98" s="234" t="s">
        <v>223</v>
      </c>
      <c r="C98" s="235"/>
      <c r="D98" s="235"/>
      <c r="E98" s="243" t="s">
        <v>1576</v>
      </c>
    </row>
    <row r="99" spans="1:5" ht="22.5" customHeight="1" x14ac:dyDescent="0.2">
      <c r="A99" s="231" t="s">
        <v>322</v>
      </c>
      <c r="B99" s="234" t="s">
        <v>832</v>
      </c>
      <c r="C99" s="235"/>
      <c r="D99" s="235"/>
      <c r="E99" s="243" t="s">
        <v>754</v>
      </c>
    </row>
    <row r="100" spans="1:5" ht="12.75" customHeight="1" x14ac:dyDescent="0.2">
      <c r="A100" s="231" t="s">
        <v>336</v>
      </c>
      <c r="B100" s="234" t="s">
        <v>372</v>
      </c>
      <c r="C100" s="235"/>
      <c r="D100" s="235"/>
      <c r="E100" s="243" t="s">
        <v>1209</v>
      </c>
    </row>
    <row r="101" spans="1:5" ht="12.75" customHeight="1" x14ac:dyDescent="0.2">
      <c r="A101" s="231" t="s">
        <v>202</v>
      </c>
      <c r="B101" s="234" t="s">
        <v>1186</v>
      </c>
      <c r="C101" s="235"/>
      <c r="D101" s="235"/>
      <c r="E101" s="243" t="s">
        <v>1030</v>
      </c>
    </row>
    <row r="102" spans="1:5" ht="22.5" customHeight="1" x14ac:dyDescent="0.2">
      <c r="A102" s="231" t="s">
        <v>516</v>
      </c>
      <c r="B102" s="234" t="s">
        <v>998</v>
      </c>
      <c r="C102" s="235"/>
      <c r="D102" s="235"/>
      <c r="E102" s="243" t="s">
        <v>1495</v>
      </c>
    </row>
    <row r="103" spans="1:5" ht="22.5" customHeight="1" x14ac:dyDescent="0.2">
      <c r="A103" s="231" t="s">
        <v>80</v>
      </c>
      <c r="B103" s="234" t="s">
        <v>1107</v>
      </c>
      <c r="C103" s="235"/>
      <c r="D103" s="235"/>
      <c r="E103" s="243" t="s">
        <v>628</v>
      </c>
    </row>
    <row r="104" spans="1:5" ht="33.75" customHeight="1" x14ac:dyDescent="0.2">
      <c r="A104" s="231" t="s">
        <v>757</v>
      </c>
      <c r="B104" s="234" t="s">
        <v>1595</v>
      </c>
      <c r="C104" s="235"/>
      <c r="D104" s="235"/>
      <c r="E104" s="243" t="s">
        <v>1172</v>
      </c>
    </row>
    <row r="105" spans="1:5" ht="22.5" customHeight="1" x14ac:dyDescent="0.2">
      <c r="A105" s="231" t="s">
        <v>284</v>
      </c>
      <c r="B105" s="234" t="s">
        <v>906</v>
      </c>
      <c r="C105" s="235"/>
      <c r="D105" s="235"/>
      <c r="E105" s="243" t="s">
        <v>428</v>
      </c>
    </row>
    <row r="106" spans="1:5" ht="22.5" customHeight="1" x14ac:dyDescent="0.2">
      <c r="A106" s="231" t="s">
        <v>1269</v>
      </c>
      <c r="B106" s="234" t="s">
        <v>1472</v>
      </c>
      <c r="C106" s="235"/>
      <c r="D106" s="235"/>
      <c r="E106" s="243" t="s">
        <v>581</v>
      </c>
    </row>
    <row r="107" spans="1:5" ht="12.75" customHeight="1" x14ac:dyDescent="0.2">
      <c r="A107" s="231" t="s">
        <v>1134</v>
      </c>
      <c r="B107" s="234" t="s">
        <v>872</v>
      </c>
      <c r="C107" s="235"/>
      <c r="D107" s="235"/>
      <c r="E107" s="243" t="s">
        <v>169</v>
      </c>
    </row>
    <row r="108" spans="1:5" ht="22.5" customHeight="1" x14ac:dyDescent="0.2">
      <c r="A108" s="231" t="s">
        <v>440</v>
      </c>
      <c r="B108" s="234" t="s">
        <v>874</v>
      </c>
      <c r="C108" s="235"/>
      <c r="D108" s="235"/>
      <c r="E108" s="243" t="s">
        <v>1563</v>
      </c>
    </row>
    <row r="109" spans="1:5" ht="22.5" customHeight="1" x14ac:dyDescent="0.2">
      <c r="A109" s="231" t="s">
        <v>651</v>
      </c>
      <c r="B109" s="234" t="s">
        <v>546</v>
      </c>
      <c r="C109" s="235"/>
      <c r="D109" s="235"/>
      <c r="E109" s="243" t="s">
        <v>33</v>
      </c>
    </row>
    <row r="110" spans="1:5" ht="33.75" customHeight="1" x14ac:dyDescent="0.2">
      <c r="A110" s="231" t="s">
        <v>1147</v>
      </c>
      <c r="B110" s="234" t="s">
        <v>1431</v>
      </c>
      <c r="C110" s="235"/>
      <c r="D110" s="235"/>
      <c r="E110" s="243" t="s">
        <v>87</v>
      </c>
    </row>
    <row r="111" spans="1:5" ht="22.5" customHeight="1" x14ac:dyDescent="0.2">
      <c r="A111" s="231" t="s">
        <v>1379</v>
      </c>
      <c r="B111" s="234" t="s">
        <v>1431</v>
      </c>
      <c r="C111" s="235"/>
      <c r="D111" s="235"/>
      <c r="E111" s="243" t="s">
        <v>456</v>
      </c>
    </row>
    <row r="112" spans="1:5" ht="147.75" customHeight="1" x14ac:dyDescent="0.2">
      <c r="A112" s="231" t="s">
        <v>89</v>
      </c>
      <c r="B112" s="234" t="s">
        <v>1217</v>
      </c>
      <c r="C112" s="235"/>
      <c r="D112" s="235"/>
      <c r="E112" s="243" t="s">
        <v>667</v>
      </c>
    </row>
    <row r="113" spans="1:5" ht="171" customHeight="1" x14ac:dyDescent="0.2">
      <c r="A113" s="231" t="s">
        <v>1506</v>
      </c>
      <c r="B113" s="234" t="s">
        <v>999</v>
      </c>
      <c r="C113" s="235"/>
      <c r="D113" s="235"/>
      <c r="E113" s="243" t="s">
        <v>541</v>
      </c>
    </row>
    <row r="114" spans="1:5" ht="57" customHeight="1" x14ac:dyDescent="0.2">
      <c r="A114" s="231" t="s">
        <v>1565</v>
      </c>
      <c r="B114" s="234" t="s">
        <v>1386</v>
      </c>
      <c r="C114" s="235"/>
      <c r="D114" s="235"/>
      <c r="E114" s="243" t="s">
        <v>1234</v>
      </c>
    </row>
    <row r="115" spans="1:5" ht="68.25" customHeight="1" x14ac:dyDescent="0.2">
      <c r="A115" s="231" t="s">
        <v>749</v>
      </c>
      <c r="B115" s="234" t="s">
        <v>973</v>
      </c>
      <c r="C115" s="235"/>
      <c r="D115" s="235"/>
      <c r="E115" s="243" t="s">
        <v>178</v>
      </c>
    </row>
    <row r="116" spans="1:5" ht="12.75" customHeight="1" x14ac:dyDescent="0.2">
      <c r="A116" s="231" t="s">
        <v>47</v>
      </c>
      <c r="B116" s="234" t="s">
        <v>1545</v>
      </c>
      <c r="C116" s="235"/>
      <c r="D116" s="235"/>
      <c r="E116" s="243" t="s">
        <v>335</v>
      </c>
    </row>
    <row r="117" spans="1:5" ht="68.25" customHeight="1" x14ac:dyDescent="0.2">
      <c r="A117" s="231" t="s">
        <v>1057</v>
      </c>
      <c r="B117" s="234" t="s">
        <v>929</v>
      </c>
      <c r="C117" s="235"/>
      <c r="D117" s="235"/>
      <c r="E117" s="243" t="s">
        <v>1557</v>
      </c>
    </row>
    <row r="118" spans="1:5" ht="33.75" customHeight="1" x14ac:dyDescent="0.2">
      <c r="A118" s="231" t="s">
        <v>709</v>
      </c>
      <c r="B118" s="234" t="s">
        <v>304</v>
      </c>
      <c r="C118" s="235"/>
      <c r="D118" s="235"/>
      <c r="E118" s="243" t="s">
        <v>1354</v>
      </c>
    </row>
    <row r="119" spans="1:5" ht="33.75" customHeight="1" x14ac:dyDescent="0.2">
      <c r="A119" s="231" t="s">
        <v>1494</v>
      </c>
      <c r="B119" s="234" t="s">
        <v>304</v>
      </c>
      <c r="C119" s="235"/>
      <c r="D119" s="235"/>
      <c r="E119" s="243" t="s">
        <v>1123</v>
      </c>
    </row>
    <row r="120" spans="1:5" ht="57" customHeight="1" x14ac:dyDescent="0.2">
      <c r="A120" s="231" t="s">
        <v>1262</v>
      </c>
      <c r="B120" s="234" t="s">
        <v>1610</v>
      </c>
      <c r="C120" s="235"/>
      <c r="D120" s="235"/>
      <c r="E120" s="243" t="s">
        <v>1347</v>
      </c>
    </row>
    <row r="121" spans="1:5" ht="12.75" customHeight="1" x14ac:dyDescent="0.2">
      <c r="A121" s="231" t="s">
        <v>158</v>
      </c>
      <c r="B121" s="234" t="s">
        <v>794</v>
      </c>
      <c r="C121" s="235"/>
      <c r="D121" s="235"/>
      <c r="E121" s="243" t="s">
        <v>1613</v>
      </c>
    </row>
    <row r="122" spans="1:5" ht="12.75" customHeight="1" x14ac:dyDescent="0.2">
      <c r="A122" s="231" t="s">
        <v>1524</v>
      </c>
      <c r="B122" s="234" t="s">
        <v>459</v>
      </c>
      <c r="C122" s="235"/>
      <c r="D122" s="235"/>
      <c r="E122" s="243" t="s">
        <v>609</v>
      </c>
    </row>
    <row r="123" spans="1:5" ht="79.5" customHeight="1" x14ac:dyDescent="0.2">
      <c r="A123" s="231" t="s">
        <v>584</v>
      </c>
      <c r="B123" s="234" t="s">
        <v>134</v>
      </c>
      <c r="C123" s="235"/>
      <c r="D123" s="235"/>
      <c r="E123" s="243" t="s">
        <v>1039</v>
      </c>
    </row>
    <row r="124" spans="1:5" ht="22.5" customHeight="1" x14ac:dyDescent="0.2">
      <c r="A124" s="231" t="s">
        <v>366</v>
      </c>
      <c r="B124" s="234" t="s">
        <v>134</v>
      </c>
      <c r="C124" s="235"/>
      <c r="D124" s="235"/>
      <c r="E124" s="243" t="s">
        <v>870</v>
      </c>
    </row>
    <row r="125" spans="1:5" ht="45.75" customHeight="1" x14ac:dyDescent="0.2">
      <c r="A125" s="231" t="s">
        <v>1484</v>
      </c>
      <c r="B125" s="234" t="s">
        <v>134</v>
      </c>
      <c r="C125" s="235"/>
      <c r="D125" s="235"/>
      <c r="E125" s="243" t="s">
        <v>854</v>
      </c>
    </row>
    <row r="126" spans="1:5" ht="22.5" customHeight="1" x14ac:dyDescent="0.2">
      <c r="A126" s="231" t="s">
        <v>994</v>
      </c>
      <c r="B126" s="234" t="s">
        <v>542</v>
      </c>
      <c r="C126" s="235"/>
      <c r="D126" s="235"/>
      <c r="E126" s="243" t="s">
        <v>1300</v>
      </c>
    </row>
    <row r="127" spans="1:5" ht="22.5" customHeight="1" x14ac:dyDescent="0.2">
      <c r="A127" s="231" t="s">
        <v>1046</v>
      </c>
      <c r="B127" s="234" t="s">
        <v>511</v>
      </c>
      <c r="C127" s="235"/>
      <c r="D127" s="235"/>
      <c r="E127" s="243" t="s">
        <v>200</v>
      </c>
    </row>
    <row r="128" spans="1:5" ht="33.75" customHeight="1" x14ac:dyDescent="0.2">
      <c r="A128" s="231" t="s">
        <v>598</v>
      </c>
      <c r="B128" s="234" t="s">
        <v>166</v>
      </c>
      <c r="C128" s="235"/>
      <c r="D128" s="235"/>
      <c r="E128" s="243" t="s">
        <v>145</v>
      </c>
    </row>
    <row r="129" spans="1:5" ht="57" customHeight="1" x14ac:dyDescent="0.2">
      <c r="A129" s="231" t="s">
        <v>641</v>
      </c>
      <c r="B129" s="234" t="s">
        <v>1397</v>
      </c>
      <c r="C129" s="235"/>
      <c r="D129" s="235"/>
      <c r="E129" s="243" t="s">
        <v>136</v>
      </c>
    </row>
    <row r="130" spans="1:5" ht="22.5" customHeight="1" x14ac:dyDescent="0.2">
      <c r="A130" s="231" t="s">
        <v>615</v>
      </c>
      <c r="B130" s="234" t="s">
        <v>1085</v>
      </c>
      <c r="C130" s="235"/>
      <c r="D130" s="235"/>
      <c r="E130" s="243" t="s">
        <v>14</v>
      </c>
    </row>
    <row r="131" spans="1:5" ht="57" customHeight="1" x14ac:dyDescent="0.2">
      <c r="A131" s="231" t="s">
        <v>1579</v>
      </c>
      <c r="B131" s="234" t="s">
        <v>143</v>
      </c>
      <c r="C131" s="235"/>
      <c r="D131" s="235"/>
      <c r="E131" s="243" t="s">
        <v>1239</v>
      </c>
    </row>
    <row r="133" spans="1:5" ht="12.75" customHeight="1" x14ac:dyDescent="0.2">
      <c r="A133" s="233" t="s">
        <v>1607</v>
      </c>
      <c r="B133" s="233" t="s">
        <v>192</v>
      </c>
      <c r="C133" s="233" t="s">
        <v>119</v>
      </c>
      <c r="D133" s="233" t="s">
        <v>956</v>
      </c>
      <c r="E133" s="242" t="s">
        <v>983</v>
      </c>
    </row>
    <row r="134" spans="1:5" ht="22.5" customHeight="1" x14ac:dyDescent="0.2">
      <c r="A134" s="231" t="s">
        <v>935</v>
      </c>
      <c r="B134" s="236" t="s">
        <v>1011</v>
      </c>
      <c r="C134" s="236" t="s">
        <v>774</v>
      </c>
      <c r="D134" s="236" t="s">
        <v>935</v>
      </c>
      <c r="E134" s="243" t="s">
        <v>118</v>
      </c>
    </row>
    <row r="135" spans="1:5" ht="12.75" customHeight="1" x14ac:dyDescent="0.2">
      <c r="A135" s="231" t="s">
        <v>597</v>
      </c>
      <c r="B135" s="237" t="s">
        <v>380</v>
      </c>
      <c r="D135" s="237" t="s">
        <v>935</v>
      </c>
    </row>
    <row r="136" spans="1:5" ht="12.75" customHeight="1" x14ac:dyDescent="0.2">
      <c r="A136" s="231" t="s">
        <v>504</v>
      </c>
      <c r="B136" s="237" t="s">
        <v>625</v>
      </c>
    </row>
    <row r="137" spans="1:5" ht="12.75" customHeight="1" x14ac:dyDescent="0.2">
      <c r="A137" s="231" t="s">
        <v>1441</v>
      </c>
      <c r="B137" s="237" t="s">
        <v>882</v>
      </c>
    </row>
    <row r="138" spans="1:5" ht="12.75" customHeight="1" x14ac:dyDescent="0.2">
      <c r="A138" s="231" t="s">
        <v>1015</v>
      </c>
      <c r="B138" s="237" t="s">
        <v>81</v>
      </c>
    </row>
    <row r="139" spans="1:5" ht="12.75" customHeight="1" x14ac:dyDescent="0.2">
      <c r="A139" s="231" t="s">
        <v>1315</v>
      </c>
      <c r="B139" s="237" t="s">
        <v>512</v>
      </c>
    </row>
    <row r="140" spans="1:5" ht="12.75" customHeight="1" x14ac:dyDescent="0.2">
      <c r="A140" s="231" t="s">
        <v>982</v>
      </c>
      <c r="B140" s="237" t="s">
        <v>406</v>
      </c>
    </row>
    <row r="141" spans="1:5" ht="12.75" customHeight="1" x14ac:dyDescent="0.2">
      <c r="A141" s="231" t="s">
        <v>1501</v>
      </c>
      <c r="B141" s="237" t="s">
        <v>1111</v>
      </c>
    </row>
    <row r="142" spans="1:5" ht="12.75" customHeight="1" x14ac:dyDescent="0.2">
      <c r="A142" s="231" t="s">
        <v>339</v>
      </c>
      <c r="B142" s="237" t="s">
        <v>441</v>
      </c>
    </row>
    <row r="144" spans="1:5" ht="12.75" customHeight="1" x14ac:dyDescent="0.2">
      <c r="A144" s="231" t="s">
        <v>1181</v>
      </c>
      <c r="B144" s="236" t="s">
        <v>596</v>
      </c>
      <c r="C144" s="236" t="s">
        <v>774</v>
      </c>
      <c r="D144" s="236" t="s">
        <v>1181</v>
      </c>
      <c r="E144" s="243" t="s">
        <v>390</v>
      </c>
    </row>
    <row r="145" spans="1:5" ht="12.75" customHeight="1" x14ac:dyDescent="0.2">
      <c r="A145" s="231" t="s">
        <v>597</v>
      </c>
      <c r="B145" s="237" t="s">
        <v>380</v>
      </c>
      <c r="D145" s="237" t="s">
        <v>1181</v>
      </c>
    </row>
    <row r="146" spans="1:5" ht="12.75" customHeight="1" x14ac:dyDescent="0.2">
      <c r="A146" s="231" t="s">
        <v>504</v>
      </c>
      <c r="B146" s="237" t="s">
        <v>625</v>
      </c>
    </row>
    <row r="147" spans="1:5" ht="12.75" customHeight="1" x14ac:dyDescent="0.2">
      <c r="A147" s="231" t="s">
        <v>1441</v>
      </c>
      <c r="B147" s="237" t="s">
        <v>882</v>
      </c>
    </row>
    <row r="148" spans="1:5" ht="12.75" customHeight="1" x14ac:dyDescent="0.2">
      <c r="A148" s="231" t="s">
        <v>1015</v>
      </c>
      <c r="B148" s="237" t="s">
        <v>81</v>
      </c>
    </row>
    <row r="149" spans="1:5" ht="12.75" customHeight="1" x14ac:dyDescent="0.2">
      <c r="A149" s="231" t="s">
        <v>339</v>
      </c>
      <c r="B149" s="237" t="s">
        <v>441</v>
      </c>
    </row>
    <row r="151" spans="1:5" ht="12.75" customHeight="1" x14ac:dyDescent="0.2">
      <c r="A151" s="231" t="s">
        <v>1586</v>
      </c>
      <c r="B151" s="236" t="s">
        <v>1586</v>
      </c>
      <c r="C151" s="236" t="s">
        <v>774</v>
      </c>
      <c r="D151" s="236" t="s">
        <v>1586</v>
      </c>
      <c r="E151" s="243" t="s">
        <v>1040</v>
      </c>
    </row>
    <row r="152" spans="1:5" ht="12.75" customHeight="1" x14ac:dyDescent="0.2">
      <c r="A152" s="231" t="s">
        <v>240</v>
      </c>
      <c r="B152" s="237" t="s">
        <v>1483</v>
      </c>
      <c r="D152" s="237" t="s">
        <v>1586</v>
      </c>
    </row>
    <row r="153" spans="1:5" ht="12.75" customHeight="1" x14ac:dyDescent="0.2">
      <c r="A153" s="231" t="s">
        <v>388</v>
      </c>
      <c r="B153" s="237" t="s">
        <v>720</v>
      </c>
    </row>
    <row r="154" spans="1:5" ht="12.75" customHeight="1" x14ac:dyDescent="0.2">
      <c r="A154" s="231" t="s">
        <v>339</v>
      </c>
      <c r="B154" s="237" t="s">
        <v>441</v>
      </c>
    </row>
    <row r="156" spans="1:5" ht="12.75" customHeight="1" x14ac:dyDescent="0.2">
      <c r="A156" s="231" t="s">
        <v>1583</v>
      </c>
      <c r="B156" s="236" t="s">
        <v>1583</v>
      </c>
      <c r="C156" s="236" t="s">
        <v>774</v>
      </c>
      <c r="D156" s="236" t="s">
        <v>475</v>
      </c>
      <c r="E156" s="243" t="s">
        <v>1514</v>
      </c>
    </row>
    <row r="157" spans="1:5" ht="12.75" customHeight="1" x14ac:dyDescent="0.2">
      <c r="A157" s="231" t="s">
        <v>1316</v>
      </c>
      <c r="B157" s="237" t="s">
        <v>508</v>
      </c>
      <c r="D157" s="237" t="s">
        <v>282</v>
      </c>
    </row>
    <row r="158" spans="1:5" ht="12.75" customHeight="1" x14ac:dyDescent="0.2">
      <c r="A158" s="231" t="s">
        <v>572</v>
      </c>
      <c r="B158" s="237" t="s">
        <v>1378</v>
      </c>
    </row>
    <row r="159" spans="1:5" ht="12.75" customHeight="1" x14ac:dyDescent="0.2">
      <c r="A159" s="231" t="s">
        <v>1412</v>
      </c>
      <c r="B159" s="237" t="s">
        <v>35</v>
      </c>
    </row>
    <row r="161" spans="1:5" ht="12.75" customHeight="1" x14ac:dyDescent="0.2">
      <c r="A161" s="231" t="s">
        <v>680</v>
      </c>
      <c r="B161" s="236" t="s">
        <v>1095</v>
      </c>
      <c r="C161" s="236" t="s">
        <v>774</v>
      </c>
      <c r="D161" s="236" t="s">
        <v>680</v>
      </c>
      <c r="E161" s="243" t="s">
        <v>404</v>
      </c>
    </row>
    <row r="162" spans="1:5" ht="12.75" customHeight="1" x14ac:dyDescent="0.2">
      <c r="A162" s="231" t="s">
        <v>877</v>
      </c>
      <c r="B162" s="237" t="s">
        <v>121</v>
      </c>
      <c r="D162" s="237" t="s">
        <v>680</v>
      </c>
    </row>
    <row r="163" spans="1:5" ht="12.75" customHeight="1" x14ac:dyDescent="0.2">
      <c r="A163" s="231" t="s">
        <v>1088</v>
      </c>
      <c r="B163" s="237" t="s">
        <v>1058</v>
      </c>
    </row>
    <row r="165" spans="1:5" ht="12.75" customHeight="1" x14ac:dyDescent="0.2">
      <c r="A165" s="231" t="s">
        <v>1017</v>
      </c>
      <c r="B165" s="236" t="s">
        <v>203</v>
      </c>
      <c r="C165" s="236" t="s">
        <v>774</v>
      </c>
      <c r="D165" s="236" t="s">
        <v>1017</v>
      </c>
      <c r="E165" s="243" t="s">
        <v>766</v>
      </c>
    </row>
    <row r="166" spans="1:5" ht="12.75" customHeight="1" x14ac:dyDescent="0.2">
      <c r="A166" s="231" t="s">
        <v>988</v>
      </c>
      <c r="B166" s="237" t="s">
        <v>1259</v>
      </c>
      <c r="D166" s="237" t="s">
        <v>356</v>
      </c>
    </row>
    <row r="167" spans="1:5" ht="12.75" customHeight="1" x14ac:dyDescent="0.2">
      <c r="A167" s="231" t="s">
        <v>1344</v>
      </c>
      <c r="B167" s="237" t="s">
        <v>297</v>
      </c>
    </row>
    <row r="169" spans="1:5" ht="22.5" customHeight="1" x14ac:dyDescent="0.2">
      <c r="A169" s="231" t="s">
        <v>99</v>
      </c>
      <c r="B169" s="236" t="s">
        <v>860</v>
      </c>
      <c r="C169" s="236" t="s">
        <v>774</v>
      </c>
      <c r="D169" s="236" t="s">
        <v>384</v>
      </c>
      <c r="E169" s="243" t="s">
        <v>557</v>
      </c>
    </row>
    <row r="170" spans="1:5" ht="12.75" customHeight="1" x14ac:dyDescent="0.2">
      <c r="A170" s="231" t="s">
        <v>1474</v>
      </c>
      <c r="B170" s="237" t="s">
        <v>1417</v>
      </c>
      <c r="D170" s="237" t="s">
        <v>527</v>
      </c>
    </row>
    <row r="171" spans="1:5" ht="12.75" customHeight="1" x14ac:dyDescent="0.2">
      <c r="A171" s="231" t="s">
        <v>1477</v>
      </c>
      <c r="B171" s="237" t="s">
        <v>1106</v>
      </c>
    </row>
    <row r="173" spans="1:5" ht="12.75" customHeight="1" x14ac:dyDescent="0.2">
      <c r="A173" s="231" t="s">
        <v>430</v>
      </c>
      <c r="B173" s="236" t="s">
        <v>430</v>
      </c>
      <c r="C173" s="236" t="s">
        <v>774</v>
      </c>
      <c r="D173" s="236" t="s">
        <v>430</v>
      </c>
      <c r="E173" s="243" t="s">
        <v>40</v>
      </c>
    </row>
    <row r="174" spans="1:5" ht="12.75" customHeight="1" x14ac:dyDescent="0.2">
      <c r="A174" s="231" t="s">
        <v>661</v>
      </c>
      <c r="B174" s="237" t="s">
        <v>153</v>
      </c>
      <c r="D174" s="237" t="s">
        <v>430</v>
      </c>
    </row>
    <row r="176" spans="1:5" ht="12.75" customHeight="1" x14ac:dyDescent="0.2">
      <c r="A176" s="231" t="s">
        <v>968</v>
      </c>
      <c r="B176" s="236" t="s">
        <v>1395</v>
      </c>
      <c r="C176" s="236" t="s">
        <v>774</v>
      </c>
      <c r="D176" s="236" t="s">
        <v>968</v>
      </c>
      <c r="E176" s="243" t="s">
        <v>664</v>
      </c>
    </row>
    <row r="177" spans="1:5" ht="12.75" customHeight="1" x14ac:dyDescent="0.2">
      <c r="A177" s="231" t="s">
        <v>1255</v>
      </c>
      <c r="B177" s="237" t="s">
        <v>1343</v>
      </c>
      <c r="D177" s="237" t="s">
        <v>1585</v>
      </c>
    </row>
    <row r="178" spans="1:5" ht="12.75" customHeight="1" x14ac:dyDescent="0.2">
      <c r="A178" s="231" t="s">
        <v>1359</v>
      </c>
      <c r="B178" s="237" t="s">
        <v>1471</v>
      </c>
    </row>
    <row r="179" spans="1:5" ht="12.75" customHeight="1" x14ac:dyDescent="0.2">
      <c r="A179" s="231" t="s">
        <v>1455</v>
      </c>
      <c r="B179" s="237" t="s">
        <v>12</v>
      </c>
    </row>
    <row r="181" spans="1:5" ht="12.75" customHeight="1" x14ac:dyDescent="0.2">
      <c r="A181" s="231" t="s">
        <v>540</v>
      </c>
      <c r="B181" s="236" t="s">
        <v>540</v>
      </c>
      <c r="C181" s="236" t="s">
        <v>774</v>
      </c>
      <c r="D181" s="236" t="s">
        <v>633</v>
      </c>
      <c r="E181" s="243" t="s">
        <v>730</v>
      </c>
    </row>
    <row r="182" spans="1:5" ht="12.75" customHeight="1" x14ac:dyDescent="0.2">
      <c r="A182" s="231" t="s">
        <v>689</v>
      </c>
      <c r="B182" s="237" t="s">
        <v>435</v>
      </c>
      <c r="D182" s="237" t="s">
        <v>682</v>
      </c>
    </row>
    <row r="183" spans="1:5" ht="12.75" customHeight="1" x14ac:dyDescent="0.2">
      <c r="A183" s="231" t="s">
        <v>813</v>
      </c>
      <c r="B183" s="237" t="s">
        <v>736</v>
      </c>
    </row>
    <row r="185" spans="1:5" ht="12.75" customHeight="1" x14ac:dyDescent="0.2">
      <c r="A185" s="231" t="s">
        <v>392</v>
      </c>
      <c r="B185" s="236" t="s">
        <v>756</v>
      </c>
      <c r="C185" s="236" t="s">
        <v>774</v>
      </c>
      <c r="D185" s="236" t="s">
        <v>392</v>
      </c>
      <c r="E185" s="243" t="s">
        <v>16</v>
      </c>
    </row>
    <row r="186" spans="1:5" ht="12.75" customHeight="1" x14ac:dyDescent="0.2">
      <c r="A186" s="231" t="s">
        <v>1099</v>
      </c>
      <c r="B186" s="237" t="s">
        <v>374</v>
      </c>
      <c r="D186" s="237" t="s">
        <v>211</v>
      </c>
    </row>
    <row r="187" spans="1:5" ht="12.75" customHeight="1" x14ac:dyDescent="0.2">
      <c r="A187" s="231" t="s">
        <v>953</v>
      </c>
      <c r="B187" s="237" t="s">
        <v>567</v>
      </c>
    </row>
    <row r="189" spans="1:5" ht="12.75" customHeight="1" x14ac:dyDescent="0.2">
      <c r="A189" s="231" t="s">
        <v>332</v>
      </c>
      <c r="B189" s="236" t="s">
        <v>1331</v>
      </c>
      <c r="C189" s="236" t="s">
        <v>774</v>
      </c>
      <c r="D189" s="236" t="s">
        <v>332</v>
      </c>
      <c r="E189" s="243" t="s">
        <v>363</v>
      </c>
    </row>
    <row r="190" spans="1:5" ht="12.75" customHeight="1" x14ac:dyDescent="0.2">
      <c r="A190" s="231" t="s">
        <v>1350</v>
      </c>
      <c r="B190" s="237" t="s">
        <v>590</v>
      </c>
      <c r="D190" s="237" t="s">
        <v>332</v>
      </c>
    </row>
    <row r="191" spans="1:5" ht="12.75" customHeight="1" x14ac:dyDescent="0.2">
      <c r="A191" s="231" t="s">
        <v>471</v>
      </c>
      <c r="B191" s="237" t="s">
        <v>1153</v>
      </c>
    </row>
    <row r="193" spans="1:5" ht="12.75" customHeight="1" x14ac:dyDescent="0.2">
      <c r="A193" t="s">
        <v>841</v>
      </c>
      <c r="B193" t="s">
        <v>841</v>
      </c>
      <c r="C193" t="s">
        <v>841</v>
      </c>
      <c r="D193" t="s">
        <v>841</v>
      </c>
      <c r="E193" s="244" t="s">
        <v>841</v>
      </c>
    </row>
  </sheetData>
  <mergeCells count="2">
    <mergeCell ref="A1:D1"/>
    <mergeCell ref="A2:D2"/>
  </mergeCells>
  <pageMargins left="0.25" right="0.25" top="0.5" bottom="0.5" header="0.5" footer="0.5"/>
  <pageSetup paperSize="9" fitToHeight="32767"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9"/>
  <sheetViews>
    <sheetView zoomScaleNormal="100" workbookViewId="0"/>
  </sheetViews>
  <sheetFormatPr defaultRowHeight="12.75" customHeight="1" x14ac:dyDescent="0.2"/>
  <sheetData>
    <row r="1" spans="1:10" ht="12.75" customHeight="1" x14ac:dyDescent="0.2">
      <c r="A1" s="238">
        <f>Inputs!E144</f>
        <v>1</v>
      </c>
      <c r="B1" s="238">
        <f>Inputs!E148</f>
        <v>1</v>
      </c>
      <c r="C1" s="238">
        <f>Inputs!E152</f>
        <v>1</v>
      </c>
    </row>
    <row r="2" spans="1:10" ht="12.75" customHeight="1" x14ac:dyDescent="0.2">
      <c r="A2" s="238">
        <f>Inputs!F144</f>
        <v>0</v>
      </c>
      <c r="B2" s="238">
        <f>Inputs!F148</f>
        <v>0</v>
      </c>
      <c r="C2" s="238">
        <f>Inputs!F152</f>
        <v>0</v>
      </c>
    </row>
    <row r="3" spans="1:10" ht="12.75" customHeight="1" x14ac:dyDescent="0.2">
      <c r="A3" s="238">
        <f>Inputs!G144</f>
        <v>0</v>
      </c>
      <c r="B3" s="238">
        <f>Inputs!G148</f>
        <v>0</v>
      </c>
      <c r="C3" s="238">
        <f>Inputs!G152</f>
        <v>0</v>
      </c>
    </row>
    <row r="4" spans="1:10" ht="12.75" customHeight="1" x14ac:dyDescent="0.2">
      <c r="A4" s="238">
        <f>Inputs!E145</f>
        <v>1</v>
      </c>
      <c r="B4" s="238">
        <f>Inputs!E149</f>
        <v>1</v>
      </c>
      <c r="C4" s="238">
        <f>Inputs!E153</f>
        <v>1</v>
      </c>
    </row>
    <row r="5" spans="1:10" ht="12.75" customHeight="1" x14ac:dyDescent="0.2">
      <c r="A5" s="238">
        <f>Inputs!F145</f>
        <v>0</v>
      </c>
      <c r="B5" s="238">
        <f>Inputs!F149</f>
        <v>0</v>
      </c>
      <c r="C5" s="238">
        <f>Inputs!F153</f>
        <v>0</v>
      </c>
    </row>
    <row r="6" spans="1:10" ht="12.75" customHeight="1" x14ac:dyDescent="0.2">
      <c r="A6" s="238">
        <f>Inputs!G145</f>
        <v>0</v>
      </c>
      <c r="B6" s="238">
        <f>Inputs!G149</f>
        <v>0</v>
      </c>
      <c r="C6" s="238">
        <f>Inputs!G153</f>
        <v>0</v>
      </c>
    </row>
    <row r="7" spans="1:10" ht="12.75" customHeight="1" x14ac:dyDescent="0.2">
      <c r="A7" s="238">
        <f>Inputs!E146</f>
        <v>1</v>
      </c>
      <c r="B7" s="238">
        <f>Inputs!E150</f>
        <v>1</v>
      </c>
      <c r="C7" s="238">
        <f>Inputs!E154</f>
        <v>1</v>
      </c>
    </row>
    <row r="8" spans="1:10" ht="12.75" customHeight="1" x14ac:dyDescent="0.2">
      <c r="A8" s="238">
        <f>Inputs!F146</f>
        <v>0</v>
      </c>
      <c r="B8" s="238">
        <f>Inputs!F150</f>
        <v>0</v>
      </c>
      <c r="C8" s="238">
        <f>Inputs!F154</f>
        <v>0</v>
      </c>
    </row>
    <row r="9" spans="1:10" ht="12.75" customHeight="1" x14ac:dyDescent="0.2">
      <c r="A9" s="238">
        <f>Inputs!G146</f>
        <v>0</v>
      </c>
      <c r="B9" s="238">
        <f>Inputs!G150</f>
        <v>0</v>
      </c>
      <c r="C9" s="238">
        <f>Inputs!G154</f>
        <v>0</v>
      </c>
    </row>
    <row r="10" spans="1:10" ht="12.75" customHeight="1" x14ac:dyDescent="0.2">
      <c r="A10" s="238">
        <f>Inputs!E147</f>
        <v>1</v>
      </c>
      <c r="B10" s="238">
        <f>Inputs!E151</f>
        <v>1</v>
      </c>
      <c r="C10" s="238">
        <f>Inputs!E155</f>
        <v>1</v>
      </c>
    </row>
    <row r="11" spans="1:10" ht="12.75" customHeight="1" x14ac:dyDescent="0.2">
      <c r="A11" s="238">
        <f>Inputs!F147</f>
        <v>0</v>
      </c>
      <c r="B11" s="238">
        <f>Inputs!F151</f>
        <v>0</v>
      </c>
      <c r="C11" s="238">
        <f>Inputs!F155</f>
        <v>0</v>
      </c>
    </row>
    <row r="12" spans="1:10" ht="12.75" customHeight="1" x14ac:dyDescent="0.2">
      <c r="A12" s="238">
        <f>Inputs!G147</f>
        <v>0</v>
      </c>
      <c r="B12" s="238">
        <f>Inputs!G151</f>
        <v>0</v>
      </c>
      <c r="C12" s="238">
        <f>Inputs!G155</f>
        <v>0</v>
      </c>
    </row>
    <row r="13" spans="1:10" ht="12.75" customHeight="1" x14ac:dyDescent="0.2">
      <c r="A13" s="4">
        <f>'Plot Support'!C40</f>
        <v>40360</v>
      </c>
      <c r="B13" s="4">
        <f>'Plot Support'!C41</f>
        <v>40452</v>
      </c>
      <c r="C13" s="4">
        <f>'Plot Support'!C43</f>
        <v>40544</v>
      </c>
      <c r="D13" s="4">
        <f>'Plot Support'!C44</f>
        <v>40634</v>
      </c>
      <c r="E13" s="4">
        <f>'Plot Support'!C45</f>
        <v>40725</v>
      </c>
      <c r="F13" s="4">
        <f>'Plot Support'!C46</f>
        <v>40817</v>
      </c>
      <c r="G13" s="4">
        <f>'Plot Support'!C48</f>
        <v>40909</v>
      </c>
      <c r="H13" s="4">
        <f>'Plot Support'!C49</f>
        <v>41000</v>
      </c>
      <c r="I13" s="4">
        <f>'Plot Support'!C50</f>
        <v>41091</v>
      </c>
      <c r="J13" s="4">
        <f>'Plot Support'!C51</f>
        <v>41183</v>
      </c>
    </row>
    <row r="14" spans="1:10" ht="12.75" customHeight="1" x14ac:dyDescent="0.2">
      <c r="A14" s="4">
        <f>'Plot Support'!D40</f>
        <v>40451</v>
      </c>
      <c r="B14" s="4">
        <f>'Plot Support'!D41</f>
        <v>40543</v>
      </c>
      <c r="C14" s="4">
        <f>'Plot Support'!D43</f>
        <v>40633</v>
      </c>
      <c r="D14" s="4">
        <f>'Plot Support'!D44</f>
        <v>40724</v>
      </c>
      <c r="E14" s="4">
        <f>'Plot Support'!D45</f>
        <v>40816</v>
      </c>
      <c r="F14" s="4">
        <f>'Plot Support'!D46</f>
        <v>40908</v>
      </c>
      <c r="G14" s="4">
        <f>'Plot Support'!D48</f>
        <v>40999</v>
      </c>
      <c r="H14" s="4">
        <f>'Plot Support'!D49</f>
        <v>41090</v>
      </c>
      <c r="I14" s="4">
        <f>'Plot Support'!D50</f>
        <v>41182</v>
      </c>
      <c r="J14" s="4">
        <f>'Plot Support'!D51</f>
        <v>41274</v>
      </c>
    </row>
    <row r="15" spans="1:10" ht="12.75" customHeight="1" x14ac:dyDescent="0.2">
      <c r="A15" s="239">
        <f>'Equity Fin'!B9</f>
        <v>0</v>
      </c>
      <c r="B15" s="239">
        <f>'Equity Fin'!D9</f>
        <v>0</v>
      </c>
      <c r="C15" s="239">
        <f>'Equity Fin'!E9</f>
        <v>0</v>
      </c>
      <c r="D15" s="239">
        <f>'Equity Fin'!F9</f>
        <v>0</v>
      </c>
      <c r="E15" s="239">
        <f>'Equity Fin'!G9</f>
        <v>0</v>
      </c>
      <c r="F15" s="239">
        <f>'Equity Fin'!I9</f>
        <v>0</v>
      </c>
      <c r="G15" s="239">
        <f>'Equity Fin'!J9</f>
        <v>0</v>
      </c>
      <c r="H15" s="239">
        <f>'Equity Fin'!K9</f>
        <v>0</v>
      </c>
      <c r="I15" s="239">
        <f>'Equity Fin'!L9</f>
        <v>0</v>
      </c>
    </row>
    <row r="16" spans="1:10" ht="12.75" customHeight="1" x14ac:dyDescent="0.2">
      <c r="A16" s="239">
        <f>'Equity Fin'!B10</f>
        <v>0</v>
      </c>
      <c r="B16" s="239">
        <f>'Equity Fin'!D10</f>
        <v>0</v>
      </c>
      <c r="C16" s="239">
        <f>'Equity Fin'!E10</f>
        <v>0</v>
      </c>
      <c r="D16" s="239">
        <f>'Equity Fin'!F10</f>
        <v>0</v>
      </c>
      <c r="E16" s="239">
        <f>'Equity Fin'!G10</f>
        <v>0</v>
      </c>
      <c r="F16" s="239">
        <f>'Equity Fin'!I10</f>
        <v>0</v>
      </c>
      <c r="G16" s="239">
        <f>'Equity Fin'!J10</f>
        <v>0</v>
      </c>
      <c r="H16" s="239">
        <f>'Equity Fin'!K10</f>
        <v>0</v>
      </c>
      <c r="I16" s="239">
        <f>'Equity Fin'!L10</f>
        <v>0</v>
      </c>
    </row>
    <row r="17" spans="1:9" ht="12.75" customHeight="1" x14ac:dyDescent="0.2">
      <c r="A17" s="239">
        <f>'Equity Fin'!B11</f>
        <v>0</v>
      </c>
      <c r="B17" s="239">
        <f>'Equity Fin'!D11</f>
        <v>0</v>
      </c>
      <c r="C17" s="239">
        <f>'Equity Fin'!E11</f>
        <v>0</v>
      </c>
      <c r="D17" s="239">
        <f>'Equity Fin'!F11</f>
        <v>0</v>
      </c>
      <c r="E17" s="239">
        <f>'Equity Fin'!G11</f>
        <v>0</v>
      </c>
      <c r="F17" s="239">
        <f>'Equity Fin'!I11</f>
        <v>0</v>
      </c>
      <c r="G17" s="239">
        <f>'Equity Fin'!J11</f>
        <v>0</v>
      </c>
      <c r="H17" s="239">
        <f>'Equity Fin'!K11</f>
        <v>0</v>
      </c>
      <c r="I17" s="239">
        <f>'Equity Fin'!L11</f>
        <v>0</v>
      </c>
    </row>
    <row r="18" spans="1:9" ht="12.75" customHeight="1" x14ac:dyDescent="0.2">
      <c r="A18" s="239">
        <f>'Blended Fin'!B9</f>
        <v>0</v>
      </c>
      <c r="B18" s="239">
        <f>'Blended Fin'!D9</f>
        <v>0</v>
      </c>
      <c r="C18" s="239">
        <f>'Blended Fin'!E9</f>
        <v>0</v>
      </c>
      <c r="D18" s="239">
        <f>'Blended Fin'!F9</f>
        <v>0</v>
      </c>
      <c r="E18" s="239">
        <f>'Blended Fin'!G9</f>
        <v>0</v>
      </c>
      <c r="F18" s="239">
        <f>'Blended Fin'!I9</f>
        <v>0</v>
      </c>
      <c r="G18" s="239">
        <f>'Blended Fin'!J9</f>
        <v>0</v>
      </c>
      <c r="H18" s="239">
        <f>'Blended Fin'!K9</f>
        <v>0</v>
      </c>
      <c r="I18" s="239">
        <f>'Blended Fin'!L9</f>
        <v>0</v>
      </c>
    </row>
    <row r="19" spans="1:9" ht="12.75" customHeight="1" x14ac:dyDescent="0.2">
      <c r="A19" s="239">
        <f>'Blended Fin'!B10</f>
        <v>0</v>
      </c>
      <c r="B19" s="239">
        <f>'Blended Fin'!D10</f>
        <v>0</v>
      </c>
      <c r="C19" s="239">
        <f>'Blended Fin'!E10</f>
        <v>0</v>
      </c>
      <c r="D19" s="239">
        <f>'Blended Fin'!F10</f>
        <v>0</v>
      </c>
      <c r="E19" s="239">
        <f>'Blended Fin'!G10</f>
        <v>0</v>
      </c>
      <c r="F19" s="239">
        <f>'Blended Fin'!I10</f>
        <v>0</v>
      </c>
      <c r="G19" s="239">
        <f>'Blended Fin'!J10</f>
        <v>0</v>
      </c>
      <c r="H19" s="239">
        <f>'Blended Fin'!K10</f>
        <v>0</v>
      </c>
      <c r="I19" s="239">
        <f>'Blended Fin'!L10</f>
        <v>0</v>
      </c>
    </row>
    <row r="20" spans="1:9" ht="12.75" customHeight="1" x14ac:dyDescent="0.2">
      <c r="A20" s="239">
        <f>'Blended Fin'!B11</f>
        <v>0</v>
      </c>
      <c r="B20" s="239">
        <f>'Blended Fin'!D11</f>
        <v>0</v>
      </c>
      <c r="C20" s="239">
        <f>'Blended Fin'!E11</f>
        <v>0</v>
      </c>
      <c r="D20" s="239">
        <f>'Blended Fin'!F11</f>
        <v>0</v>
      </c>
      <c r="E20" s="239">
        <f>'Blended Fin'!G11</f>
        <v>0</v>
      </c>
      <c r="F20" s="239">
        <f>'Blended Fin'!I11</f>
        <v>0</v>
      </c>
      <c r="G20" s="239">
        <f>'Blended Fin'!J11</f>
        <v>0</v>
      </c>
      <c r="H20" s="239">
        <f>'Blended Fin'!K11</f>
        <v>0</v>
      </c>
      <c r="I20" s="239">
        <f>'Blended Fin'!L11</f>
        <v>0</v>
      </c>
    </row>
    <row r="21" spans="1:9" ht="12.75" customHeight="1" x14ac:dyDescent="0.2">
      <c r="A21" s="239">
        <f>Inputs!E67</f>
        <v>0</v>
      </c>
      <c r="B21" s="239">
        <f>Inputs!F67</f>
        <v>0</v>
      </c>
      <c r="C21" s="239">
        <f>Inputs!G67</f>
        <v>0</v>
      </c>
      <c r="D21" s="239">
        <f>Inputs!H67</f>
        <v>0</v>
      </c>
      <c r="E21" s="239">
        <f>Inputs!J67</f>
        <v>0</v>
      </c>
      <c r="F21" s="239">
        <f>Inputs!K67</f>
        <v>0</v>
      </c>
      <c r="G21" s="239">
        <f>Inputs!L67</f>
        <v>0</v>
      </c>
      <c r="H21" s="239">
        <f>Inputs!M67</f>
        <v>0</v>
      </c>
    </row>
    <row r="22" spans="1:9" ht="12.75" customHeight="1" x14ac:dyDescent="0.2">
      <c r="A22" s="239">
        <f>Operations!B31</f>
        <v>0</v>
      </c>
      <c r="B22" s="239">
        <f>Operations!C31</f>
        <v>0</v>
      </c>
      <c r="C22" s="239">
        <f>Operations!D31</f>
        <v>0</v>
      </c>
      <c r="D22" s="239">
        <f>Operations!E31</f>
        <v>0</v>
      </c>
      <c r="E22" s="239">
        <f>Operations!G31</f>
        <v>0</v>
      </c>
      <c r="F22" s="239">
        <f>Operations!H31</f>
        <v>0</v>
      </c>
      <c r="G22" s="239">
        <f>Operations!I31</f>
        <v>0</v>
      </c>
      <c r="H22" s="239">
        <f>Operations!J31</f>
        <v>0</v>
      </c>
    </row>
    <row r="23" spans="1:9" ht="12.75" customHeight="1" x14ac:dyDescent="0.2">
      <c r="A23" s="239">
        <f>Inputs!E68</f>
        <v>0</v>
      </c>
      <c r="B23" s="239">
        <f>Inputs!F68</f>
        <v>0</v>
      </c>
      <c r="C23" s="239">
        <f>Inputs!G68</f>
        <v>0</v>
      </c>
      <c r="D23" s="239">
        <f>Inputs!H68</f>
        <v>0</v>
      </c>
      <c r="E23" s="239">
        <f>Inputs!J68</f>
        <v>0</v>
      </c>
      <c r="F23" s="239">
        <f>Inputs!K68</f>
        <v>0</v>
      </c>
      <c r="G23" s="239">
        <f>Inputs!L68</f>
        <v>0</v>
      </c>
      <c r="H23" s="239">
        <f>Inputs!M68</f>
        <v>0</v>
      </c>
    </row>
    <row r="24" spans="1:9" ht="12.75" customHeight="1" x14ac:dyDescent="0.2">
      <c r="A24" s="239">
        <f>Operations!B32</f>
        <v>0</v>
      </c>
      <c r="B24" s="239">
        <f>Operations!C32</f>
        <v>0</v>
      </c>
      <c r="C24" s="239">
        <f>Operations!D32</f>
        <v>0</v>
      </c>
      <c r="D24" s="239">
        <f>Operations!E32</f>
        <v>0</v>
      </c>
      <c r="E24" s="239">
        <f>Operations!G32</f>
        <v>0</v>
      </c>
      <c r="F24" s="239">
        <f>Operations!H32</f>
        <v>0</v>
      </c>
      <c r="G24" s="239">
        <f>Operations!I32</f>
        <v>0</v>
      </c>
      <c r="H24" s="239">
        <f>Operations!J32</f>
        <v>0</v>
      </c>
    </row>
    <row r="25" spans="1:9" ht="12.75" customHeight="1" x14ac:dyDescent="0.2">
      <c r="A25" s="239">
        <f>Operations!B8</f>
        <v>0</v>
      </c>
      <c r="B25" s="239">
        <f>Operations!C8</f>
        <v>0</v>
      </c>
      <c r="C25" s="239">
        <f>Operations!D8</f>
        <v>0</v>
      </c>
      <c r="D25" s="239">
        <f>Operations!E8</f>
        <v>0</v>
      </c>
      <c r="E25" s="239">
        <f>Operations!G8</f>
        <v>0</v>
      </c>
      <c r="F25" s="239">
        <f>Operations!H8</f>
        <v>0</v>
      </c>
      <c r="G25" s="239">
        <f>Operations!I8</f>
        <v>0</v>
      </c>
      <c r="H25" s="239">
        <f>Operations!J8</f>
        <v>0</v>
      </c>
    </row>
    <row r="26" spans="1:9" ht="12.75" customHeight="1" x14ac:dyDescent="0.2">
      <c r="A26" s="4" t="str">
        <f>'(Compute)'!B207</f>
        <v>Q1 2011</v>
      </c>
      <c r="B26" s="4" t="str">
        <f>'(Compute)'!C207</f>
        <v>Q2 2011</v>
      </c>
      <c r="C26" s="4" t="str">
        <f>'(Compute)'!D207</f>
        <v>Q3 2011</v>
      </c>
      <c r="D26" s="4" t="str">
        <f>'(Compute)'!E207</f>
        <v>Q4 2011</v>
      </c>
      <c r="E26" s="4" t="str">
        <f>'(Compute)'!G207</f>
        <v>Q1 2012</v>
      </c>
      <c r="F26" s="4" t="str">
        <f>'(Compute)'!H207</f>
        <v>Q2 2012</v>
      </c>
      <c r="G26" s="4" t="str">
        <f>'(Compute)'!I207</f>
        <v>Q3 2012</v>
      </c>
      <c r="H26" s="4" t="str">
        <f>'(Compute)'!J207</f>
        <v>Q4 2012</v>
      </c>
    </row>
    <row r="27" spans="1:9" ht="12.75" customHeight="1" x14ac:dyDescent="0.2">
      <c r="A27" s="4">
        <f>'(Compute)'!B204</f>
        <v>40544</v>
      </c>
      <c r="B27" s="4">
        <f>'(Compute)'!C204</f>
        <v>40634</v>
      </c>
      <c r="C27" s="4">
        <f>'(Compute)'!D204</f>
        <v>40725</v>
      </c>
      <c r="D27" s="4">
        <f>'(Compute)'!E204</f>
        <v>40817</v>
      </c>
      <c r="E27" s="4">
        <f>'(Compute)'!G204</f>
        <v>40909</v>
      </c>
      <c r="F27" s="4">
        <f>'(Compute)'!H204</f>
        <v>41000</v>
      </c>
      <c r="G27" s="4">
        <f>'(Compute)'!I204</f>
        <v>41091</v>
      </c>
      <c r="H27" s="4">
        <f>'(Compute)'!J204</f>
        <v>41183</v>
      </c>
    </row>
    <row r="28" spans="1:9" ht="12.75" customHeight="1" x14ac:dyDescent="0.2">
      <c r="A28" s="239">
        <f>Inputs!E101</f>
        <v>0</v>
      </c>
      <c r="B28" s="239">
        <f>Inputs!F101</f>
        <v>0</v>
      </c>
      <c r="C28" s="239">
        <f>Inputs!G101</f>
        <v>0</v>
      </c>
      <c r="D28" s="239">
        <f>Inputs!H101</f>
        <v>0</v>
      </c>
      <c r="E28" s="239">
        <f>Inputs!J101</f>
        <v>0</v>
      </c>
      <c r="F28" s="239">
        <f>Inputs!K101</f>
        <v>0</v>
      </c>
      <c r="G28" s="239">
        <f>Inputs!L101</f>
        <v>0</v>
      </c>
      <c r="H28" s="239">
        <f>Inputs!M101</f>
        <v>0</v>
      </c>
    </row>
    <row r="29" spans="1:9" ht="12.75" customHeight="1" x14ac:dyDescent="0.2">
      <c r="A29" s="239">
        <f>Inputs!E102</f>
        <v>0</v>
      </c>
      <c r="B29" s="239">
        <f>Inputs!F102</f>
        <v>0</v>
      </c>
      <c r="C29" s="239">
        <f>Inputs!G102</f>
        <v>0</v>
      </c>
      <c r="D29" s="239">
        <f>Inputs!H102</f>
        <v>0</v>
      </c>
      <c r="E29" s="239">
        <f>Inputs!J102</f>
        <v>0</v>
      </c>
      <c r="F29" s="239">
        <f>Inputs!K102</f>
        <v>0</v>
      </c>
      <c r="G29" s="239">
        <f>Inputs!L102</f>
        <v>0</v>
      </c>
      <c r="H29" s="239">
        <f>Inputs!M102</f>
        <v>0</v>
      </c>
    </row>
    <row r="30" spans="1:9" ht="12.75" customHeight="1" x14ac:dyDescent="0.2">
      <c r="A30" s="239">
        <f>Operations!B41</f>
        <v>0</v>
      </c>
      <c r="B30" s="239">
        <f>Operations!C41</f>
        <v>0</v>
      </c>
      <c r="C30" s="239">
        <f>Operations!D41</f>
        <v>0</v>
      </c>
      <c r="D30" s="239">
        <f>Operations!E41</f>
        <v>0</v>
      </c>
      <c r="E30" s="239">
        <f>Operations!G41</f>
        <v>0</v>
      </c>
      <c r="F30" s="239">
        <f>Operations!H41</f>
        <v>0</v>
      </c>
      <c r="G30" s="239">
        <f>Operations!I41</f>
        <v>0</v>
      </c>
      <c r="H30" s="239">
        <f>Operations!J41</f>
        <v>0</v>
      </c>
    </row>
    <row r="31" spans="1:9" ht="12.75" customHeight="1" x14ac:dyDescent="0.2">
      <c r="A31" s="239">
        <f>Inputs!E103</f>
        <v>0</v>
      </c>
      <c r="B31" s="239">
        <f>Inputs!F103</f>
        <v>0</v>
      </c>
      <c r="C31" s="239">
        <f>Inputs!G103</f>
        <v>0</v>
      </c>
      <c r="D31" s="239">
        <f>Inputs!H103</f>
        <v>0</v>
      </c>
      <c r="E31" s="239">
        <f>Inputs!J103</f>
        <v>0</v>
      </c>
      <c r="F31" s="239">
        <f>Inputs!K103</f>
        <v>0</v>
      </c>
      <c r="G31" s="239">
        <f>Inputs!L103</f>
        <v>0</v>
      </c>
      <c r="H31" s="239">
        <f>Inputs!M103</f>
        <v>0</v>
      </c>
    </row>
    <row r="32" spans="1:9" ht="12.75" customHeight="1" x14ac:dyDescent="0.2">
      <c r="A32" s="239">
        <f>Inputs!E104</f>
        <v>0</v>
      </c>
      <c r="B32" s="239">
        <f>Inputs!F104</f>
        <v>0</v>
      </c>
      <c r="C32" s="239">
        <f>Inputs!G104</f>
        <v>0</v>
      </c>
      <c r="D32" s="239">
        <f>Inputs!H104</f>
        <v>0</v>
      </c>
      <c r="E32" s="239">
        <f>Inputs!J104</f>
        <v>0</v>
      </c>
      <c r="F32" s="239">
        <f>Inputs!K104</f>
        <v>0</v>
      </c>
      <c r="G32" s="239">
        <f>Inputs!L104</f>
        <v>0</v>
      </c>
      <c r="H32" s="239">
        <f>Inputs!M104</f>
        <v>0</v>
      </c>
    </row>
    <row r="33" spans="1:9" ht="12.75" customHeight="1" x14ac:dyDescent="0.2">
      <c r="A33" s="239">
        <f>Operations!B42</f>
        <v>0</v>
      </c>
      <c r="B33" s="239">
        <f>Operations!C42</f>
        <v>0</v>
      </c>
      <c r="C33" s="239">
        <f>Operations!D42</f>
        <v>0</v>
      </c>
      <c r="D33" s="239">
        <f>Operations!E42</f>
        <v>0</v>
      </c>
      <c r="E33" s="239">
        <f>Operations!G42</f>
        <v>0</v>
      </c>
      <c r="F33" s="239">
        <f>Operations!H42</f>
        <v>0</v>
      </c>
      <c r="G33" s="239">
        <f>Operations!I42</f>
        <v>0</v>
      </c>
      <c r="H33" s="239">
        <f>Operations!J42</f>
        <v>0</v>
      </c>
    </row>
    <row r="34" spans="1:9" ht="12.75" customHeight="1" x14ac:dyDescent="0.2">
      <c r="A34" s="239">
        <f>Operations!B43</f>
        <v>0</v>
      </c>
      <c r="B34" s="239">
        <f>Operations!C43</f>
        <v>0</v>
      </c>
      <c r="C34" s="239">
        <f>Operations!D43</f>
        <v>0</v>
      </c>
      <c r="D34" s="239">
        <f>Operations!E43</f>
        <v>0</v>
      </c>
      <c r="E34" s="239">
        <f>Operations!G43</f>
        <v>0</v>
      </c>
      <c r="F34" s="239">
        <f>Operations!H43</f>
        <v>0</v>
      </c>
      <c r="G34" s="239">
        <f>Operations!I43</f>
        <v>0</v>
      </c>
      <c r="H34" s="239">
        <f>Operations!J43</f>
        <v>0</v>
      </c>
    </row>
    <row r="35" spans="1:9" ht="12.75" customHeight="1" x14ac:dyDescent="0.2">
      <c r="A35" s="4" t="str">
        <f>'(Compute)'!B213</f>
        <v>Q1 2011</v>
      </c>
      <c r="B35" s="4" t="str">
        <f>'(Compute)'!C213</f>
        <v>Q2 2011</v>
      </c>
      <c r="C35" s="4" t="str">
        <f>'(Compute)'!D213</f>
        <v>Q3 2011</v>
      </c>
      <c r="D35" s="4" t="str">
        <f>'(Compute)'!E213</f>
        <v>Q4 2011</v>
      </c>
      <c r="E35" s="4" t="str">
        <f>'(Compute)'!G213</f>
        <v>Q1 2012</v>
      </c>
      <c r="F35" s="4" t="str">
        <f>'(Compute)'!H213</f>
        <v>Q2 2012</v>
      </c>
      <c r="G35" s="4" t="str">
        <f>'(Compute)'!I213</f>
        <v>Q3 2012</v>
      </c>
      <c r="H35" s="4" t="str">
        <f>'(Compute)'!J213</f>
        <v>Q4 2012</v>
      </c>
    </row>
    <row r="36" spans="1:9" ht="12.75" customHeight="1" x14ac:dyDescent="0.2">
      <c r="A36" s="4">
        <f>'(Compute)'!B210</f>
        <v>40544</v>
      </c>
      <c r="B36" s="4">
        <f>'(Compute)'!C210</f>
        <v>40634</v>
      </c>
      <c r="C36" s="4">
        <f>'(Compute)'!D210</f>
        <v>40725</v>
      </c>
      <c r="D36" s="4">
        <f>'(Compute)'!E210</f>
        <v>40817</v>
      </c>
      <c r="E36" s="4">
        <f>'(Compute)'!G210</f>
        <v>40909</v>
      </c>
      <c r="F36" s="4">
        <f>'(Compute)'!H210</f>
        <v>41000</v>
      </c>
      <c r="G36" s="4">
        <f>'(Compute)'!I210</f>
        <v>41091</v>
      </c>
      <c r="H36" s="4">
        <f>'(Compute)'!J210</f>
        <v>41183</v>
      </c>
    </row>
    <row r="37" spans="1:9" ht="12.75" customHeight="1" x14ac:dyDescent="0.2">
      <c r="A37" s="239">
        <f>Inputs!E95</f>
        <v>0</v>
      </c>
      <c r="B37" s="239">
        <f>Inputs!F95</f>
        <v>0</v>
      </c>
      <c r="C37" s="239">
        <f>Inputs!G95</f>
        <v>0</v>
      </c>
      <c r="D37" s="239">
        <f>Inputs!H95</f>
        <v>0</v>
      </c>
      <c r="E37" s="239">
        <f>Inputs!J95</f>
        <v>0</v>
      </c>
      <c r="F37" s="239">
        <f>Inputs!K95</f>
        <v>0</v>
      </c>
      <c r="G37" s="239">
        <f>Inputs!L95</f>
        <v>0</v>
      </c>
      <c r="H37" s="239">
        <f>Inputs!M95</f>
        <v>0</v>
      </c>
    </row>
    <row r="38" spans="1:9" ht="12.75" customHeight="1" x14ac:dyDescent="0.2">
      <c r="A38" s="239">
        <f>Inputs!E96</f>
        <v>0</v>
      </c>
      <c r="B38" s="239">
        <f>Inputs!F96</f>
        <v>0</v>
      </c>
      <c r="C38" s="239">
        <f>Inputs!G96</f>
        <v>0</v>
      </c>
      <c r="D38" s="239">
        <f>Inputs!H96</f>
        <v>0</v>
      </c>
      <c r="E38" s="239">
        <f>Inputs!J96</f>
        <v>0</v>
      </c>
      <c r="F38" s="239">
        <f>Inputs!K96</f>
        <v>0</v>
      </c>
      <c r="G38" s="239">
        <f>Inputs!L96</f>
        <v>0</v>
      </c>
      <c r="H38" s="239">
        <f>Inputs!M96</f>
        <v>0</v>
      </c>
    </row>
    <row r="39" spans="1:9" ht="12.75" customHeight="1" x14ac:dyDescent="0.2">
      <c r="A39" s="239">
        <f>Operations!B36</f>
        <v>0</v>
      </c>
      <c r="B39" s="239">
        <f>Operations!C36</f>
        <v>0</v>
      </c>
      <c r="C39" s="239">
        <f>Operations!D36</f>
        <v>0</v>
      </c>
      <c r="D39" s="239">
        <f>Operations!E36</f>
        <v>0</v>
      </c>
      <c r="E39" s="239">
        <f>Operations!G36</f>
        <v>0</v>
      </c>
      <c r="F39" s="239">
        <f>Operations!H36</f>
        <v>0</v>
      </c>
      <c r="G39" s="239">
        <f>Operations!I36</f>
        <v>0</v>
      </c>
      <c r="H39" s="239">
        <f>Operations!J36</f>
        <v>0</v>
      </c>
    </row>
    <row r="40" spans="1:9" ht="12.75" customHeight="1" x14ac:dyDescent="0.2">
      <c r="A40" s="239">
        <f>Inputs!E97</f>
        <v>0</v>
      </c>
      <c r="B40" s="239">
        <f>Inputs!F97</f>
        <v>0</v>
      </c>
      <c r="C40" s="239">
        <f>Inputs!G97</f>
        <v>0</v>
      </c>
      <c r="D40" s="239">
        <f>Inputs!H97</f>
        <v>0</v>
      </c>
      <c r="E40" s="239">
        <f>Inputs!J97</f>
        <v>0</v>
      </c>
      <c r="F40" s="239">
        <f>Inputs!K97</f>
        <v>0</v>
      </c>
      <c r="G40" s="239">
        <f>Inputs!L97</f>
        <v>0</v>
      </c>
      <c r="H40" s="239">
        <f>Inputs!M97</f>
        <v>0</v>
      </c>
    </row>
    <row r="41" spans="1:9" ht="12.75" customHeight="1" x14ac:dyDescent="0.2">
      <c r="A41" s="239">
        <f>Inputs!E98</f>
        <v>0</v>
      </c>
      <c r="B41" s="239">
        <f>Inputs!F98</f>
        <v>0</v>
      </c>
      <c r="C41" s="239">
        <f>Inputs!G98</f>
        <v>0</v>
      </c>
      <c r="D41" s="239">
        <f>Inputs!H98</f>
        <v>0</v>
      </c>
      <c r="E41" s="239">
        <f>Inputs!J98</f>
        <v>0</v>
      </c>
      <c r="F41" s="239">
        <f>Inputs!K98</f>
        <v>0</v>
      </c>
      <c r="G41" s="239">
        <f>Inputs!L98</f>
        <v>0</v>
      </c>
      <c r="H41" s="239">
        <f>Inputs!M98</f>
        <v>0</v>
      </c>
    </row>
    <row r="42" spans="1:9" ht="12.75" customHeight="1" x14ac:dyDescent="0.2">
      <c r="A42" s="239">
        <f>Operations!B37</f>
        <v>0</v>
      </c>
      <c r="B42" s="239">
        <f>Operations!C37</f>
        <v>0</v>
      </c>
      <c r="C42" s="239">
        <f>Operations!D37</f>
        <v>0</v>
      </c>
      <c r="D42" s="239">
        <f>Operations!E37</f>
        <v>0</v>
      </c>
      <c r="E42" s="239">
        <f>Operations!G37</f>
        <v>0</v>
      </c>
      <c r="F42" s="239">
        <f>Operations!H37</f>
        <v>0</v>
      </c>
      <c r="G42" s="239">
        <f>Operations!I37</f>
        <v>0</v>
      </c>
      <c r="H42" s="239">
        <f>Operations!J37</f>
        <v>0</v>
      </c>
    </row>
    <row r="43" spans="1:9" ht="12.75" customHeight="1" x14ac:dyDescent="0.2">
      <c r="A43" s="239">
        <f>Operations!B38</f>
        <v>0</v>
      </c>
      <c r="B43" s="239">
        <f>Operations!C38</f>
        <v>0</v>
      </c>
      <c r="C43" s="239">
        <f>Operations!D38</f>
        <v>0</v>
      </c>
      <c r="D43" s="239">
        <f>Operations!E38</f>
        <v>0</v>
      </c>
      <c r="E43" s="239">
        <f>Operations!G38</f>
        <v>0</v>
      </c>
      <c r="F43" s="239">
        <f>Operations!H38</f>
        <v>0</v>
      </c>
      <c r="G43" s="239">
        <f>Operations!I38</f>
        <v>0</v>
      </c>
      <c r="H43" s="239">
        <f>Operations!J38</f>
        <v>0</v>
      </c>
    </row>
    <row r="44" spans="1:9" ht="12.75" customHeight="1" x14ac:dyDescent="0.2">
      <c r="A44" s="4" t="str">
        <f>'(Compute)'!B219</f>
        <v>Q1 2011</v>
      </c>
      <c r="B44" s="4" t="str">
        <f>'(Compute)'!C219</f>
        <v>Q2 2011</v>
      </c>
      <c r="C44" s="4" t="str">
        <f>'(Compute)'!D219</f>
        <v>Q3 2011</v>
      </c>
      <c r="D44" s="4" t="str">
        <f>'(Compute)'!E219</f>
        <v>Q4 2011</v>
      </c>
      <c r="E44" s="4" t="str">
        <f>'(Compute)'!G219</f>
        <v>Q1 2012</v>
      </c>
      <c r="F44" s="4" t="str">
        <f>'(Compute)'!H219</f>
        <v>Q2 2012</v>
      </c>
      <c r="G44" s="4" t="str">
        <f>'(Compute)'!I219</f>
        <v>Q3 2012</v>
      </c>
      <c r="H44" s="4" t="str">
        <f>'(Compute)'!J219</f>
        <v>Q4 2012</v>
      </c>
    </row>
    <row r="45" spans="1:9" ht="12.75" customHeight="1" x14ac:dyDescent="0.2">
      <c r="A45" s="4">
        <f>'(Compute)'!B216</f>
        <v>40544</v>
      </c>
      <c r="B45" s="4">
        <f>'(Compute)'!C216</f>
        <v>40634</v>
      </c>
      <c r="C45" s="4">
        <f>'(Compute)'!D216</f>
        <v>40725</v>
      </c>
      <c r="D45" s="4">
        <f>'(Compute)'!E216</f>
        <v>40817</v>
      </c>
      <c r="E45" s="4">
        <f>'(Compute)'!G216</f>
        <v>40909</v>
      </c>
      <c r="F45" s="4">
        <f>'(Compute)'!H216</f>
        <v>41000</v>
      </c>
      <c r="G45" s="4">
        <f>'(Compute)'!I216</f>
        <v>41091</v>
      </c>
      <c r="H45" s="4">
        <f>'(Compute)'!J216</f>
        <v>41183</v>
      </c>
    </row>
    <row r="46" spans="1:9" ht="12.75" customHeight="1" x14ac:dyDescent="0.2">
      <c r="A46" s="239">
        <f>Investment!B120</f>
        <v>0</v>
      </c>
      <c r="B46" s="239">
        <f>Investment!D120</f>
        <v>0</v>
      </c>
      <c r="C46" s="239">
        <f>Investment!E120</f>
        <v>0</v>
      </c>
      <c r="D46" s="239">
        <f>Investment!F120</f>
        <v>0</v>
      </c>
      <c r="E46" s="239">
        <f>Investment!G120</f>
        <v>0</v>
      </c>
      <c r="F46" s="239">
        <f>Investment!I120</f>
        <v>0</v>
      </c>
      <c r="G46" s="239">
        <f>Investment!J120</f>
        <v>0</v>
      </c>
      <c r="H46" s="239">
        <f>Investment!K120</f>
        <v>0</v>
      </c>
      <c r="I46" s="239">
        <f>Investment!L120</f>
        <v>0</v>
      </c>
    </row>
    <row r="47" spans="1:9" ht="12.75" customHeight="1" x14ac:dyDescent="0.2">
      <c r="A47" s="239">
        <f>Investment!B123</f>
        <v>0</v>
      </c>
      <c r="B47" s="239">
        <f>Investment!D123</f>
        <v>0</v>
      </c>
      <c r="C47" s="239">
        <f>Investment!E123</f>
        <v>0</v>
      </c>
      <c r="D47" s="239">
        <f>Investment!F123</f>
        <v>0</v>
      </c>
      <c r="E47" s="239">
        <f>Investment!G123</f>
        <v>0</v>
      </c>
      <c r="F47" s="239">
        <f>Investment!I123</f>
        <v>0</v>
      </c>
      <c r="G47" s="239">
        <f>Investment!J123</f>
        <v>0</v>
      </c>
      <c r="H47" s="239">
        <f>Investment!K123</f>
        <v>0</v>
      </c>
      <c r="I47" s="239">
        <f>Investment!L123</f>
        <v>0</v>
      </c>
    </row>
    <row r="48" spans="1:9" ht="12.75" customHeight="1" x14ac:dyDescent="0.2">
      <c r="A48" s="239">
        <f>Investment!B112</f>
        <v>0</v>
      </c>
      <c r="B48" s="239">
        <f>Investment!D112</f>
        <v>0</v>
      </c>
      <c r="C48" s="239">
        <f>Investment!E112</f>
        <v>0</v>
      </c>
      <c r="D48" s="239">
        <f>Investment!F112</f>
        <v>0</v>
      </c>
      <c r="E48" s="239">
        <f>Investment!G112</f>
        <v>0</v>
      </c>
      <c r="F48" s="239">
        <f>Investment!I112</f>
        <v>0</v>
      </c>
      <c r="G48" s="239">
        <f>Investment!J112</f>
        <v>0</v>
      </c>
      <c r="H48" s="239">
        <f>Investment!K112</f>
        <v>0</v>
      </c>
      <c r="I48" s="239">
        <f>Investment!L112</f>
        <v>0</v>
      </c>
    </row>
    <row r="49" spans="1:9" ht="12.75" customHeight="1" x14ac:dyDescent="0.2">
      <c r="A49" s="4" t="str">
        <f>'(Compute)'!B225</f>
        <v>Q4 2010</v>
      </c>
      <c r="B49" s="4" t="str">
        <f>'(Compute)'!D225</f>
        <v>Q1 2011</v>
      </c>
      <c r="C49" s="4" t="str">
        <f>'(Compute)'!E225</f>
        <v>Q2 2011</v>
      </c>
      <c r="D49" s="4" t="str">
        <f>'(Compute)'!F225</f>
        <v>Q3 2011</v>
      </c>
      <c r="E49" s="4" t="str">
        <f>'(Compute)'!G225</f>
        <v>Q4 2011</v>
      </c>
      <c r="F49" s="4" t="str">
        <f>'(Compute)'!I225</f>
        <v>Q1 2012</v>
      </c>
      <c r="G49" s="4" t="str">
        <f>'(Compute)'!J225</f>
        <v>Q2 2012</v>
      </c>
      <c r="H49" s="4" t="str">
        <f>'(Compute)'!K225</f>
        <v>Q3 2012</v>
      </c>
      <c r="I49" s="4" t="str">
        <f>'(Compute)'!L225</f>
        <v>Q4 2012</v>
      </c>
    </row>
    <row r="50" spans="1:9" ht="12.75" customHeight="1" x14ac:dyDescent="0.2">
      <c r="A50" s="4">
        <f>'(Compute)'!B222</f>
        <v>40452</v>
      </c>
      <c r="B50" s="4">
        <f>'(Compute)'!D222</f>
        <v>40544</v>
      </c>
      <c r="C50" s="4">
        <f>'(Compute)'!E222</f>
        <v>40634</v>
      </c>
      <c r="D50" s="4">
        <f>'(Compute)'!F222</f>
        <v>40725</v>
      </c>
      <c r="E50" s="4">
        <f>'(Compute)'!G222</f>
        <v>40817</v>
      </c>
      <c r="F50" s="4">
        <f>'(Compute)'!I222</f>
        <v>40909</v>
      </c>
      <c r="G50" s="4">
        <f>'(Compute)'!J222</f>
        <v>41000</v>
      </c>
      <c r="H50" s="4">
        <f>'(Compute)'!K222</f>
        <v>41091</v>
      </c>
      <c r="I50" s="4">
        <f>'(Compute)'!L222</f>
        <v>41183</v>
      </c>
    </row>
    <row r="51" spans="1:9" ht="12.75" customHeight="1" x14ac:dyDescent="0.2">
      <c r="A51" s="239">
        <f>Investment!B134</f>
        <v>0</v>
      </c>
      <c r="B51" s="239">
        <f>Investment!D134</f>
        <v>0</v>
      </c>
      <c r="C51" s="239">
        <f>Investment!E134</f>
        <v>0</v>
      </c>
      <c r="D51" s="239">
        <f>Investment!F134</f>
        <v>0</v>
      </c>
      <c r="E51" s="239">
        <f>Investment!G134</f>
        <v>0</v>
      </c>
      <c r="F51" s="239">
        <f>Investment!I134</f>
        <v>0</v>
      </c>
      <c r="G51" s="239">
        <f>Investment!J134</f>
        <v>0</v>
      </c>
      <c r="H51" s="239">
        <f>Investment!K134</f>
        <v>0</v>
      </c>
      <c r="I51" s="239">
        <f>Investment!L134</f>
        <v>0</v>
      </c>
    </row>
    <row r="52" spans="1:9" ht="12.75" customHeight="1" x14ac:dyDescent="0.2">
      <c r="A52" s="239">
        <f>Investment!B135</f>
        <v>0</v>
      </c>
      <c r="B52" s="239">
        <f>Investment!D135</f>
        <v>0</v>
      </c>
      <c r="C52" s="239">
        <f>Investment!E135</f>
        <v>0</v>
      </c>
      <c r="D52" s="239">
        <f>Investment!F135</f>
        <v>0</v>
      </c>
      <c r="E52" s="239">
        <f>Investment!G135</f>
        <v>0</v>
      </c>
      <c r="F52" s="239">
        <f>Investment!I135</f>
        <v>0</v>
      </c>
      <c r="G52" s="239">
        <f>Investment!J135</f>
        <v>0</v>
      </c>
      <c r="H52" s="239">
        <f>Investment!K135</f>
        <v>0</v>
      </c>
      <c r="I52" s="239">
        <f>Investment!L135</f>
        <v>0</v>
      </c>
    </row>
    <row r="53" spans="1:9" ht="12.75" customHeight="1" x14ac:dyDescent="0.2">
      <c r="A53" s="239">
        <f>Investment!B136</f>
        <v>0</v>
      </c>
      <c r="B53" s="239">
        <f>Investment!D136</f>
        <v>0</v>
      </c>
      <c r="C53" s="239">
        <f>Investment!E136</f>
        <v>0</v>
      </c>
      <c r="D53" s="239">
        <f>Investment!F136</f>
        <v>0</v>
      </c>
      <c r="E53" s="239">
        <f>Investment!G136</f>
        <v>0</v>
      </c>
      <c r="F53" s="239">
        <f>Investment!I136</f>
        <v>0</v>
      </c>
      <c r="G53" s="239">
        <f>Investment!J136</f>
        <v>0</v>
      </c>
      <c r="H53" s="239">
        <f>Investment!K136</f>
        <v>0</v>
      </c>
      <c r="I53" s="239">
        <f>Investment!L136</f>
        <v>0</v>
      </c>
    </row>
    <row r="54" spans="1:9" ht="12.75" customHeight="1" x14ac:dyDescent="0.2">
      <c r="A54" s="239">
        <f>Investment!B138</f>
        <v>0</v>
      </c>
      <c r="B54" s="239">
        <f>Investment!D138</f>
        <v>0</v>
      </c>
      <c r="C54" s="239">
        <f>Investment!E138</f>
        <v>0</v>
      </c>
      <c r="D54" s="239">
        <f>Investment!F138</f>
        <v>0</v>
      </c>
      <c r="E54" s="239">
        <f>Investment!G138</f>
        <v>0</v>
      </c>
      <c r="F54" s="239">
        <f>Investment!I138</f>
        <v>0</v>
      </c>
      <c r="G54" s="239">
        <f>Investment!J138</f>
        <v>0</v>
      </c>
      <c r="H54" s="239">
        <f>Investment!K138</f>
        <v>0</v>
      </c>
      <c r="I54" s="239">
        <f>Investment!L138</f>
        <v>0</v>
      </c>
    </row>
    <row r="55" spans="1:9" ht="12.75" customHeight="1" x14ac:dyDescent="0.2">
      <c r="A55" s="239">
        <f>Investment!B139</f>
        <v>0</v>
      </c>
      <c r="B55" s="239">
        <f>Investment!D139</f>
        <v>0</v>
      </c>
      <c r="C55" s="239">
        <f>Investment!E139</f>
        <v>0</v>
      </c>
      <c r="D55" s="239">
        <f>Investment!F139</f>
        <v>0</v>
      </c>
      <c r="E55" s="239">
        <f>Investment!G139</f>
        <v>0</v>
      </c>
      <c r="F55" s="239">
        <f>Investment!I139</f>
        <v>0</v>
      </c>
      <c r="G55" s="239">
        <f>Investment!J139</f>
        <v>0</v>
      </c>
      <c r="H55" s="239">
        <f>Investment!K139</f>
        <v>0</v>
      </c>
      <c r="I55" s="239">
        <f>Investment!L139</f>
        <v>0</v>
      </c>
    </row>
    <row r="56" spans="1:9" ht="12.75" customHeight="1" x14ac:dyDescent="0.2">
      <c r="A56" s="239">
        <f>Investment!B140</f>
        <v>0</v>
      </c>
      <c r="B56" s="239">
        <f>Investment!D140</f>
        <v>0</v>
      </c>
      <c r="C56" s="239">
        <f>Investment!E140</f>
        <v>0</v>
      </c>
      <c r="D56" s="239">
        <f>Investment!F140</f>
        <v>0</v>
      </c>
      <c r="E56" s="239">
        <f>Investment!G140</f>
        <v>0</v>
      </c>
      <c r="F56" s="239">
        <f>Investment!I140</f>
        <v>0</v>
      </c>
      <c r="G56" s="239">
        <f>Investment!J140</f>
        <v>0</v>
      </c>
      <c r="H56" s="239">
        <f>Investment!K140</f>
        <v>0</v>
      </c>
      <c r="I56" s="239">
        <f>Investment!L140</f>
        <v>0</v>
      </c>
    </row>
    <row r="57" spans="1:9" ht="12.75" customHeight="1" x14ac:dyDescent="0.2">
      <c r="A57" s="239">
        <f>Investment!B141</f>
        <v>0</v>
      </c>
      <c r="B57" s="239">
        <f>Investment!D141</f>
        <v>0</v>
      </c>
      <c r="C57" s="239">
        <f>Investment!E141</f>
        <v>0</v>
      </c>
      <c r="D57" s="239">
        <f>Investment!F141</f>
        <v>0</v>
      </c>
      <c r="E57" s="239">
        <f>Investment!G141</f>
        <v>0</v>
      </c>
      <c r="F57" s="239">
        <f>Investment!I141</f>
        <v>0</v>
      </c>
      <c r="G57" s="239">
        <f>Investment!J141</f>
        <v>0</v>
      </c>
      <c r="H57" s="239">
        <f>Investment!K141</f>
        <v>0</v>
      </c>
      <c r="I57" s="239">
        <f>Investment!L141</f>
        <v>0</v>
      </c>
    </row>
    <row r="58" spans="1:9" ht="12.75" customHeight="1" x14ac:dyDescent="0.2">
      <c r="A58" s="4" t="str">
        <f>'(Compute)'!B231</f>
        <v>Q4 2010</v>
      </c>
      <c r="B58" s="4" t="str">
        <f>'(Compute)'!D231</f>
        <v>Q1 2011</v>
      </c>
      <c r="C58" s="4" t="str">
        <f>'(Compute)'!E231</f>
        <v>Q2 2011</v>
      </c>
      <c r="D58" s="4" t="str">
        <f>'(Compute)'!F231</f>
        <v>Q3 2011</v>
      </c>
      <c r="E58" s="4" t="str">
        <f>'(Compute)'!G231</f>
        <v>Q4 2011</v>
      </c>
      <c r="F58" s="4" t="str">
        <f>'(Compute)'!I231</f>
        <v>Q1 2012</v>
      </c>
      <c r="G58" s="4" t="str">
        <f>'(Compute)'!J231</f>
        <v>Q2 2012</v>
      </c>
      <c r="H58" s="4" t="str">
        <f>'(Compute)'!K231</f>
        <v>Q3 2012</v>
      </c>
      <c r="I58" s="4" t="str">
        <f>'(Compute)'!L231</f>
        <v>Q4 2012</v>
      </c>
    </row>
    <row r="59" spans="1:9" ht="12.75" customHeight="1" x14ac:dyDescent="0.2">
      <c r="A59" s="4">
        <f>'(Compute)'!B228</f>
        <v>40452</v>
      </c>
      <c r="B59" s="4">
        <f>'(Compute)'!D228</f>
        <v>40544</v>
      </c>
      <c r="C59" s="4">
        <f>'(Compute)'!E228</f>
        <v>40634</v>
      </c>
      <c r="D59" s="4">
        <f>'(Compute)'!F228</f>
        <v>40725</v>
      </c>
      <c r="E59" s="4">
        <f>'(Compute)'!G228</f>
        <v>40817</v>
      </c>
      <c r="F59" s="4">
        <f>'(Compute)'!I228</f>
        <v>40909</v>
      </c>
      <c r="G59" s="4">
        <f>'(Compute)'!J228</f>
        <v>41000</v>
      </c>
      <c r="H59" s="4">
        <f>'(Compute)'!K228</f>
        <v>41091</v>
      </c>
      <c r="I59" s="4">
        <f>'(Compute)'!L228</f>
        <v>41183</v>
      </c>
    </row>
    <row r="60" spans="1:9" ht="12.75" customHeight="1" x14ac:dyDescent="0.2">
      <c r="A60" s="239">
        <f>Investment!D121</f>
        <v>0</v>
      </c>
      <c r="B60" s="239">
        <f>Investment!E121</f>
        <v>0</v>
      </c>
      <c r="C60" s="239">
        <f>Investment!F121</f>
        <v>0</v>
      </c>
      <c r="D60" s="239">
        <f>Investment!G121</f>
        <v>0</v>
      </c>
      <c r="E60" s="239">
        <f>Investment!I121</f>
        <v>0</v>
      </c>
      <c r="F60" s="239">
        <f>Investment!J121</f>
        <v>0</v>
      </c>
      <c r="G60" s="239">
        <f>Investment!K121</f>
        <v>0</v>
      </c>
      <c r="H60" s="239">
        <f>Investment!L121</f>
        <v>0</v>
      </c>
    </row>
    <row r="61" spans="1:9" ht="12.75" customHeight="1" x14ac:dyDescent="0.2">
      <c r="A61" s="239">
        <f>Investment!D124</f>
        <v>0</v>
      </c>
      <c r="B61" s="239">
        <f>Investment!E124</f>
        <v>0</v>
      </c>
      <c r="C61" s="239">
        <f>Investment!F124</f>
        <v>0</v>
      </c>
      <c r="D61" s="239">
        <f>Investment!G124</f>
        <v>0</v>
      </c>
      <c r="E61" s="239">
        <f>Investment!I124</f>
        <v>0</v>
      </c>
      <c r="F61" s="239">
        <f>Investment!J124</f>
        <v>0</v>
      </c>
      <c r="G61" s="239">
        <f>Investment!K124</f>
        <v>0</v>
      </c>
      <c r="H61" s="239">
        <f>Investment!L124</f>
        <v>0</v>
      </c>
    </row>
    <row r="62" spans="1:9" ht="12.75" customHeight="1" x14ac:dyDescent="0.2">
      <c r="A62" s="239">
        <f>Investment!D114</f>
        <v>0</v>
      </c>
      <c r="B62" s="239">
        <f>Investment!E114</f>
        <v>0</v>
      </c>
      <c r="C62" s="239">
        <f>Investment!F114</f>
        <v>0</v>
      </c>
      <c r="D62" s="239">
        <f>Investment!G114</f>
        <v>0</v>
      </c>
      <c r="E62" s="239">
        <f>Investment!I114</f>
        <v>0</v>
      </c>
      <c r="F62" s="239">
        <f>Investment!J114</f>
        <v>0</v>
      </c>
      <c r="G62" s="239">
        <f>Investment!K114</f>
        <v>0</v>
      </c>
      <c r="H62" s="239">
        <f>Investment!L114</f>
        <v>0</v>
      </c>
    </row>
    <row r="63" spans="1:9" ht="12.75" customHeight="1" x14ac:dyDescent="0.2">
      <c r="A63" s="4" t="str">
        <f>'(Compute)'!B237</f>
        <v>Q1 2011</v>
      </c>
      <c r="B63" s="4" t="str">
        <f>'(Compute)'!C237</f>
        <v>Q2 2011</v>
      </c>
      <c r="C63" s="4" t="str">
        <f>'(Compute)'!D237</f>
        <v>Q3 2011</v>
      </c>
      <c r="D63" s="4" t="str">
        <f>'(Compute)'!E237</f>
        <v>Q4 2011</v>
      </c>
      <c r="E63" s="4" t="str">
        <f>'(Compute)'!G237</f>
        <v>Q1 2012</v>
      </c>
      <c r="F63" s="4" t="str">
        <f>'(Compute)'!H237</f>
        <v>Q2 2012</v>
      </c>
      <c r="G63" s="4" t="str">
        <f>'(Compute)'!I237</f>
        <v>Q3 2012</v>
      </c>
      <c r="H63" s="4" t="str">
        <f>'(Compute)'!J237</f>
        <v>Q4 2012</v>
      </c>
    </row>
    <row r="64" spans="1:9" ht="12.75" customHeight="1" x14ac:dyDescent="0.2">
      <c r="A64" s="4">
        <f>'(Compute)'!B234</f>
        <v>40544</v>
      </c>
      <c r="B64" s="4">
        <f>'(Compute)'!C234</f>
        <v>40634</v>
      </c>
      <c r="C64" s="4">
        <f>'(Compute)'!D234</f>
        <v>40725</v>
      </c>
      <c r="D64" s="4">
        <f>'(Compute)'!E234</f>
        <v>40817</v>
      </c>
      <c r="E64" s="4">
        <f>'(Compute)'!G234</f>
        <v>40909</v>
      </c>
      <c r="F64" s="4">
        <f>'(Compute)'!H234</f>
        <v>41000</v>
      </c>
      <c r="G64" s="4">
        <f>'(Compute)'!I234</f>
        <v>41091</v>
      </c>
      <c r="H64" s="4">
        <f>'(Compute)'!J234</f>
        <v>41183</v>
      </c>
    </row>
    <row r="65" spans="1:9" ht="12.75" customHeight="1" x14ac:dyDescent="0.2">
      <c r="A65" s="239">
        <f>Operations!B46</f>
        <v>0</v>
      </c>
      <c r="B65" s="239">
        <f>Operations!C46</f>
        <v>0</v>
      </c>
      <c r="C65" s="239">
        <f>Operations!D46</f>
        <v>0</v>
      </c>
      <c r="D65" s="239">
        <f>Operations!E46</f>
        <v>0</v>
      </c>
      <c r="E65" s="239">
        <f>Operations!G46</f>
        <v>0</v>
      </c>
      <c r="F65" s="239">
        <f>Operations!H46</f>
        <v>0</v>
      </c>
      <c r="G65" s="239">
        <f>Operations!I46</f>
        <v>0</v>
      </c>
      <c r="H65" s="239">
        <f>Operations!J46</f>
        <v>0</v>
      </c>
    </row>
    <row r="66" spans="1:9" ht="12.75" customHeight="1" x14ac:dyDescent="0.2">
      <c r="A66" s="239">
        <f>Operations!B47</f>
        <v>0</v>
      </c>
      <c r="B66" s="239">
        <f>Operations!C47</f>
        <v>0</v>
      </c>
      <c r="C66" s="239">
        <f>Operations!D47</f>
        <v>0</v>
      </c>
      <c r="D66" s="239">
        <f>Operations!E47</f>
        <v>0</v>
      </c>
      <c r="E66" s="239">
        <f>Operations!G47</f>
        <v>0</v>
      </c>
      <c r="F66" s="239">
        <f>Operations!H47</f>
        <v>0</v>
      </c>
      <c r="G66" s="239">
        <f>Operations!I47</f>
        <v>0</v>
      </c>
      <c r="H66" s="239">
        <f>Operations!J47</f>
        <v>0</v>
      </c>
    </row>
    <row r="67" spans="1:9" ht="12.75" customHeight="1" x14ac:dyDescent="0.2">
      <c r="A67" s="239">
        <f>Operations!B10</f>
        <v>0</v>
      </c>
      <c r="B67" s="239">
        <f>Operations!C10</f>
        <v>0</v>
      </c>
      <c r="C67" s="239">
        <f>Operations!D10</f>
        <v>0</v>
      </c>
      <c r="D67" s="239">
        <f>Operations!E10</f>
        <v>0</v>
      </c>
      <c r="E67" s="239">
        <f>Operations!G10</f>
        <v>0</v>
      </c>
      <c r="F67" s="239">
        <f>Operations!H10</f>
        <v>0</v>
      </c>
      <c r="G67" s="239">
        <f>Operations!I10</f>
        <v>0</v>
      </c>
      <c r="H67" s="239">
        <f>Operations!J10</f>
        <v>0</v>
      </c>
    </row>
    <row r="68" spans="1:9" ht="12.75" customHeight="1" x14ac:dyDescent="0.2">
      <c r="A68" s="4" t="str">
        <f>'(Compute)'!B243</f>
        <v>Q1 2011</v>
      </c>
      <c r="B68" s="4" t="str">
        <f>'(Compute)'!C243</f>
        <v>Q2 2011</v>
      </c>
      <c r="C68" s="4" t="str">
        <f>'(Compute)'!D243</f>
        <v>Q3 2011</v>
      </c>
      <c r="D68" s="4" t="str">
        <f>'(Compute)'!E243</f>
        <v>Q4 2011</v>
      </c>
      <c r="E68" s="4" t="str">
        <f>'(Compute)'!G243</f>
        <v>Q1 2012</v>
      </c>
      <c r="F68" s="4" t="str">
        <f>'(Compute)'!H243</f>
        <v>Q2 2012</v>
      </c>
      <c r="G68" s="4" t="str">
        <f>'(Compute)'!I243</f>
        <v>Q3 2012</v>
      </c>
      <c r="H68" s="4" t="str">
        <f>'(Compute)'!J243</f>
        <v>Q4 2012</v>
      </c>
    </row>
    <row r="69" spans="1:9" ht="12.75" customHeight="1" x14ac:dyDescent="0.2">
      <c r="A69" s="4">
        <f>'(Compute)'!B240</f>
        <v>40544</v>
      </c>
      <c r="B69" s="4">
        <f>'(Compute)'!C240</f>
        <v>40634</v>
      </c>
      <c r="C69" s="4">
        <f>'(Compute)'!D240</f>
        <v>40725</v>
      </c>
      <c r="D69" s="4">
        <f>'(Compute)'!E240</f>
        <v>40817</v>
      </c>
      <c r="E69" s="4">
        <f>'(Compute)'!G240</f>
        <v>40909</v>
      </c>
      <c r="F69" s="4">
        <f>'(Compute)'!H240</f>
        <v>41000</v>
      </c>
      <c r="G69" s="4">
        <f>'(Compute)'!I240</f>
        <v>41091</v>
      </c>
      <c r="H69" s="4">
        <f>'(Compute)'!J240</f>
        <v>41183</v>
      </c>
    </row>
    <row r="70" spans="1:9" ht="12.75" customHeight="1" x14ac:dyDescent="0.2">
      <c r="A70" s="239">
        <f>Operations!B61</f>
        <v>0</v>
      </c>
      <c r="B70" s="239">
        <f>Operations!C61</f>
        <v>0</v>
      </c>
      <c r="C70" s="239">
        <f>Operations!D61</f>
        <v>0</v>
      </c>
      <c r="D70" s="239">
        <f>Operations!E61</f>
        <v>0</v>
      </c>
      <c r="E70" s="239">
        <f>Operations!G61</f>
        <v>0</v>
      </c>
      <c r="F70" s="239">
        <f>Operations!H61</f>
        <v>0</v>
      </c>
      <c r="G70" s="239">
        <f>Operations!I61</f>
        <v>0</v>
      </c>
      <c r="H70" s="239">
        <f>Operations!J61</f>
        <v>0</v>
      </c>
    </row>
    <row r="71" spans="1:9" ht="12.75" customHeight="1" x14ac:dyDescent="0.2">
      <c r="A71" s="239">
        <f>Operations!B62</f>
        <v>0</v>
      </c>
      <c r="B71" s="239">
        <f>Operations!C62</f>
        <v>0</v>
      </c>
      <c r="C71" s="239">
        <f>Operations!D62</f>
        <v>0</v>
      </c>
      <c r="D71" s="239">
        <f>Operations!E62</f>
        <v>0</v>
      </c>
      <c r="E71" s="239">
        <f>Operations!G62</f>
        <v>0</v>
      </c>
      <c r="F71" s="239">
        <f>Operations!H62</f>
        <v>0</v>
      </c>
      <c r="G71" s="239">
        <f>Operations!I62</f>
        <v>0</v>
      </c>
      <c r="H71" s="239">
        <f>Operations!J62</f>
        <v>0</v>
      </c>
    </row>
    <row r="72" spans="1:9" ht="12.75" customHeight="1" x14ac:dyDescent="0.2">
      <c r="A72" s="239">
        <f>Operations!B15</f>
        <v>0</v>
      </c>
      <c r="B72" s="239">
        <f>Operations!C15</f>
        <v>0</v>
      </c>
      <c r="C72" s="239">
        <f>Operations!D15</f>
        <v>0</v>
      </c>
      <c r="D72" s="239">
        <f>Operations!E15</f>
        <v>0</v>
      </c>
      <c r="E72" s="239">
        <f>Operations!G15</f>
        <v>0</v>
      </c>
      <c r="F72" s="239">
        <f>Operations!H15</f>
        <v>0</v>
      </c>
      <c r="G72" s="239">
        <f>Operations!I15</f>
        <v>0</v>
      </c>
      <c r="H72" s="239">
        <f>Operations!J15</f>
        <v>0</v>
      </c>
    </row>
    <row r="73" spans="1:9" ht="12.75" customHeight="1" x14ac:dyDescent="0.2">
      <c r="A73" s="4" t="str">
        <f>'(Compute)'!B249</f>
        <v>Q1 2011</v>
      </c>
      <c r="B73" s="4" t="str">
        <f>'(Compute)'!C249</f>
        <v>Q2 2011</v>
      </c>
      <c r="C73" s="4" t="str">
        <f>'(Compute)'!D249</f>
        <v>Q3 2011</v>
      </c>
      <c r="D73" s="4" t="str">
        <f>'(Compute)'!E249</f>
        <v>Q4 2011</v>
      </c>
      <c r="E73" s="4" t="str">
        <f>'(Compute)'!G249</f>
        <v>Q1 2012</v>
      </c>
      <c r="F73" s="4" t="str">
        <f>'(Compute)'!H249</f>
        <v>Q2 2012</v>
      </c>
      <c r="G73" s="4" t="str">
        <f>'(Compute)'!I249</f>
        <v>Q3 2012</v>
      </c>
      <c r="H73" s="4" t="str">
        <f>'(Compute)'!J249</f>
        <v>Q4 2012</v>
      </c>
    </row>
    <row r="74" spans="1:9" ht="12.75" customHeight="1" x14ac:dyDescent="0.2">
      <c r="A74" s="4">
        <f>'(Compute)'!B246</f>
        <v>40544</v>
      </c>
      <c r="B74" s="4">
        <f>'(Compute)'!C246</f>
        <v>40634</v>
      </c>
      <c r="C74" s="4">
        <f>'(Compute)'!D246</f>
        <v>40725</v>
      </c>
      <c r="D74" s="4">
        <f>'(Compute)'!E246</f>
        <v>40817</v>
      </c>
      <c r="E74" s="4">
        <f>'(Compute)'!G246</f>
        <v>40909</v>
      </c>
      <c r="F74" s="4">
        <f>'(Compute)'!H246</f>
        <v>41000</v>
      </c>
      <c r="G74" s="4">
        <f>'(Compute)'!I246</f>
        <v>41091</v>
      </c>
      <c r="H74" s="4">
        <f>'(Compute)'!J246</f>
        <v>41183</v>
      </c>
    </row>
    <row r="75" spans="1:9" ht="12.75" customHeight="1" x14ac:dyDescent="0.2">
      <c r="A75" s="239">
        <f>'Equity Fin'!B119</f>
        <v>0</v>
      </c>
      <c r="B75" s="239">
        <f>'Equity Fin'!D119</f>
        <v>0</v>
      </c>
      <c r="C75" s="239">
        <f>'Equity Fin'!E119</f>
        <v>0</v>
      </c>
      <c r="D75" s="239">
        <f>'Equity Fin'!F119</f>
        <v>0</v>
      </c>
      <c r="E75" s="239">
        <f>'Equity Fin'!G119</f>
        <v>0</v>
      </c>
      <c r="F75" s="239">
        <f>'Equity Fin'!I119</f>
        <v>0</v>
      </c>
      <c r="G75" s="239">
        <f>'Equity Fin'!J119</f>
        <v>0</v>
      </c>
      <c r="H75" s="239">
        <f>'Equity Fin'!K119</f>
        <v>0</v>
      </c>
      <c r="I75" s="239">
        <f>'Equity Fin'!L119</f>
        <v>0</v>
      </c>
    </row>
    <row r="76" spans="1:9" ht="12.75" customHeight="1" x14ac:dyDescent="0.2">
      <c r="A76" s="239">
        <f>'Equity Fin'!B120</f>
        <v>0</v>
      </c>
      <c r="B76" s="239">
        <f>'Equity Fin'!D120</f>
        <v>0</v>
      </c>
      <c r="C76" s="239">
        <f>'Equity Fin'!E120</f>
        <v>0</v>
      </c>
      <c r="D76" s="239">
        <f>'Equity Fin'!F120</f>
        <v>0</v>
      </c>
      <c r="E76" s="239">
        <f>'Equity Fin'!G120</f>
        <v>0</v>
      </c>
      <c r="F76" s="239">
        <f>'Equity Fin'!I120</f>
        <v>0</v>
      </c>
      <c r="G76" s="239">
        <f>'Equity Fin'!J120</f>
        <v>0</v>
      </c>
      <c r="H76" s="239">
        <f>'Equity Fin'!K120</f>
        <v>0</v>
      </c>
      <c r="I76" s="239">
        <f>'Equity Fin'!L120</f>
        <v>0</v>
      </c>
    </row>
    <row r="77" spans="1:9" ht="12.75" customHeight="1" x14ac:dyDescent="0.2">
      <c r="A77" s="239">
        <f>'Equity Fin'!B105</f>
        <v>0</v>
      </c>
      <c r="B77" s="239">
        <f>'Equity Fin'!D105</f>
        <v>0</v>
      </c>
      <c r="C77" s="239">
        <f>'Equity Fin'!E105</f>
        <v>0</v>
      </c>
      <c r="D77" s="239">
        <f>'Equity Fin'!F105</f>
        <v>0</v>
      </c>
      <c r="E77" s="239">
        <f>'Equity Fin'!G105</f>
        <v>0</v>
      </c>
      <c r="F77" s="239">
        <f>'Equity Fin'!I105</f>
        <v>0</v>
      </c>
      <c r="G77" s="239">
        <f>'Equity Fin'!J105</f>
        <v>0</v>
      </c>
      <c r="H77" s="239">
        <f>'Equity Fin'!K105</f>
        <v>0</v>
      </c>
      <c r="I77" s="239">
        <f>'Equity Fin'!L105</f>
        <v>0</v>
      </c>
    </row>
    <row r="78" spans="1:9" ht="12.75" customHeight="1" x14ac:dyDescent="0.2">
      <c r="A78" s="239">
        <f>'Equity Fin'!B123</f>
        <v>0</v>
      </c>
      <c r="B78" s="239">
        <f>'Equity Fin'!D123</f>
        <v>0</v>
      </c>
      <c r="C78" s="239">
        <f>'Equity Fin'!E123</f>
        <v>0</v>
      </c>
      <c r="D78" s="239">
        <f>'Equity Fin'!F123</f>
        <v>0</v>
      </c>
      <c r="E78" s="239">
        <f>'Equity Fin'!G123</f>
        <v>0</v>
      </c>
      <c r="F78" s="239">
        <f>'Equity Fin'!I123</f>
        <v>0</v>
      </c>
      <c r="G78" s="239">
        <f>'Equity Fin'!J123</f>
        <v>0</v>
      </c>
      <c r="H78" s="239">
        <f>'Equity Fin'!K123</f>
        <v>0</v>
      </c>
      <c r="I78" s="239">
        <f>'Equity Fin'!L123</f>
        <v>0</v>
      </c>
    </row>
    <row r="79" spans="1:9" ht="12.75" customHeight="1" x14ac:dyDescent="0.2">
      <c r="A79" s="239">
        <f>'Equity Fin'!B124</f>
        <v>0</v>
      </c>
      <c r="B79" s="239">
        <f>'Equity Fin'!D124</f>
        <v>0</v>
      </c>
      <c r="C79" s="239">
        <f>'Equity Fin'!E124</f>
        <v>0</v>
      </c>
      <c r="D79" s="239">
        <f>'Equity Fin'!F124</f>
        <v>0</v>
      </c>
      <c r="E79" s="239">
        <f>'Equity Fin'!G124</f>
        <v>0</v>
      </c>
      <c r="F79" s="239">
        <f>'Equity Fin'!I124</f>
        <v>0</v>
      </c>
      <c r="G79" s="239">
        <f>'Equity Fin'!J124</f>
        <v>0</v>
      </c>
      <c r="H79" s="239">
        <f>'Equity Fin'!K124</f>
        <v>0</v>
      </c>
      <c r="I79" s="239">
        <f>'Equity Fin'!L124</f>
        <v>0</v>
      </c>
    </row>
    <row r="80" spans="1:9" ht="12.75" customHeight="1" x14ac:dyDescent="0.2">
      <c r="A80" s="239">
        <f>'Equity Fin'!B106</f>
        <v>0</v>
      </c>
      <c r="B80" s="239">
        <f>'Equity Fin'!D106</f>
        <v>0</v>
      </c>
      <c r="C80" s="239">
        <f>'Equity Fin'!E106</f>
        <v>0</v>
      </c>
      <c r="D80" s="239">
        <f>'Equity Fin'!F106</f>
        <v>0</v>
      </c>
      <c r="E80" s="239">
        <f>'Equity Fin'!G106</f>
        <v>0</v>
      </c>
      <c r="F80" s="239">
        <f>'Equity Fin'!I106</f>
        <v>0</v>
      </c>
      <c r="G80" s="239">
        <f>'Equity Fin'!J106</f>
        <v>0</v>
      </c>
      <c r="H80" s="239">
        <f>'Equity Fin'!K106</f>
        <v>0</v>
      </c>
      <c r="I80" s="239">
        <f>'Equity Fin'!L106</f>
        <v>0</v>
      </c>
    </row>
    <row r="81" spans="1:9" ht="12.75" customHeight="1" x14ac:dyDescent="0.2">
      <c r="A81" s="239">
        <f>'Equity Fin'!B107</f>
        <v>0</v>
      </c>
      <c r="B81" s="239">
        <f>'Equity Fin'!D107</f>
        <v>0</v>
      </c>
      <c r="C81" s="239">
        <f>'Equity Fin'!E107</f>
        <v>0</v>
      </c>
      <c r="D81" s="239">
        <f>'Equity Fin'!F107</f>
        <v>0</v>
      </c>
      <c r="E81" s="239">
        <f>'Equity Fin'!G107</f>
        <v>0</v>
      </c>
      <c r="F81" s="239">
        <f>'Equity Fin'!I107</f>
        <v>0</v>
      </c>
      <c r="G81" s="239">
        <f>'Equity Fin'!J107</f>
        <v>0</v>
      </c>
      <c r="H81" s="239">
        <f>'Equity Fin'!K107</f>
        <v>0</v>
      </c>
      <c r="I81" s="239">
        <f>'Equity Fin'!L107</f>
        <v>0</v>
      </c>
    </row>
    <row r="82" spans="1:9" ht="12.75" customHeight="1" x14ac:dyDescent="0.2">
      <c r="A82" s="4" t="str">
        <f>'(Compute)'!B255</f>
        <v>Q4 2010</v>
      </c>
      <c r="B82" s="4" t="str">
        <f>'(Compute)'!D255</f>
        <v>Q1 2011</v>
      </c>
      <c r="C82" s="4" t="str">
        <f>'(Compute)'!E255</f>
        <v>Q2 2011</v>
      </c>
      <c r="D82" s="4" t="str">
        <f>'(Compute)'!F255</f>
        <v>Q3 2011</v>
      </c>
      <c r="E82" s="4" t="str">
        <f>'(Compute)'!G255</f>
        <v>Q4 2011</v>
      </c>
      <c r="F82" s="4" t="str">
        <f>'(Compute)'!I255</f>
        <v>Q1 2012</v>
      </c>
      <c r="G82" s="4" t="str">
        <f>'(Compute)'!J255</f>
        <v>Q2 2012</v>
      </c>
      <c r="H82" s="4" t="str">
        <f>'(Compute)'!K255</f>
        <v>Q3 2012</v>
      </c>
      <c r="I82" s="4" t="str">
        <f>'(Compute)'!L255</f>
        <v>Q4 2012</v>
      </c>
    </row>
    <row r="83" spans="1:9" ht="12.75" customHeight="1" x14ac:dyDescent="0.2">
      <c r="A83" s="4">
        <f>'(Compute)'!B252</f>
        <v>40452</v>
      </c>
      <c r="B83" s="4">
        <f>'(Compute)'!D252</f>
        <v>40544</v>
      </c>
      <c r="C83" s="4">
        <f>'(Compute)'!E252</f>
        <v>40634</v>
      </c>
      <c r="D83" s="4">
        <f>'(Compute)'!F252</f>
        <v>40725</v>
      </c>
      <c r="E83" s="4">
        <f>'(Compute)'!G252</f>
        <v>40817</v>
      </c>
      <c r="F83" s="4">
        <f>'(Compute)'!I252</f>
        <v>40909</v>
      </c>
      <c r="G83" s="4">
        <f>'(Compute)'!J252</f>
        <v>41000</v>
      </c>
      <c r="H83" s="4">
        <f>'(Compute)'!K252</f>
        <v>41091</v>
      </c>
      <c r="I83" s="4">
        <f>'(Compute)'!L252</f>
        <v>41183</v>
      </c>
    </row>
    <row r="84" spans="1:9" ht="12.75" customHeight="1" x14ac:dyDescent="0.2">
      <c r="A84" s="239">
        <f>'Equity Fin'!B154</f>
        <v>0</v>
      </c>
      <c r="B84" s="239">
        <f>'Equity Fin'!D154</f>
        <v>0</v>
      </c>
      <c r="C84" s="239">
        <f>'Equity Fin'!E154</f>
        <v>0</v>
      </c>
      <c r="D84" s="239">
        <f>'Equity Fin'!F154</f>
        <v>0</v>
      </c>
      <c r="E84" s="239">
        <f>'Equity Fin'!G154</f>
        <v>0</v>
      </c>
      <c r="F84" s="239">
        <f>'Equity Fin'!I154</f>
        <v>0</v>
      </c>
      <c r="G84" s="239">
        <f>'Equity Fin'!J154</f>
        <v>0</v>
      </c>
      <c r="H84" s="239">
        <f>'Equity Fin'!K154</f>
        <v>0</v>
      </c>
      <c r="I84" s="239">
        <f>'Equity Fin'!L154</f>
        <v>0</v>
      </c>
    </row>
    <row r="85" spans="1:9" ht="12.75" customHeight="1" x14ac:dyDescent="0.2">
      <c r="A85" s="239">
        <f>'Equity Fin'!B155</f>
        <v>0</v>
      </c>
      <c r="B85" s="239">
        <f>'Equity Fin'!D155</f>
        <v>0</v>
      </c>
      <c r="C85" s="239">
        <f>'Equity Fin'!E155</f>
        <v>0</v>
      </c>
      <c r="D85" s="239">
        <f>'Equity Fin'!F155</f>
        <v>0</v>
      </c>
      <c r="E85" s="239">
        <f>'Equity Fin'!G155</f>
        <v>0</v>
      </c>
      <c r="F85" s="239">
        <f>'Equity Fin'!I155</f>
        <v>0</v>
      </c>
      <c r="G85" s="239">
        <f>'Equity Fin'!J155</f>
        <v>0</v>
      </c>
      <c r="H85" s="239">
        <f>'Equity Fin'!K155</f>
        <v>0</v>
      </c>
      <c r="I85" s="239">
        <f>'Equity Fin'!L155</f>
        <v>0</v>
      </c>
    </row>
    <row r="86" spans="1:9" ht="12.75" customHeight="1" x14ac:dyDescent="0.2">
      <c r="A86" s="239">
        <f>'Equity Fin'!B156</f>
        <v>0</v>
      </c>
      <c r="B86" s="239">
        <f>'Equity Fin'!D156</f>
        <v>0</v>
      </c>
      <c r="C86" s="239">
        <f>'Equity Fin'!E156</f>
        <v>0</v>
      </c>
      <c r="D86" s="239">
        <f>'Equity Fin'!F156</f>
        <v>0</v>
      </c>
      <c r="E86" s="239">
        <f>'Equity Fin'!G156</f>
        <v>0</v>
      </c>
      <c r="F86" s="239">
        <f>'Equity Fin'!I156</f>
        <v>0</v>
      </c>
      <c r="G86" s="239">
        <f>'Equity Fin'!J156</f>
        <v>0</v>
      </c>
      <c r="H86" s="239">
        <f>'Equity Fin'!K156</f>
        <v>0</v>
      </c>
      <c r="I86" s="239">
        <f>'Equity Fin'!L156</f>
        <v>0</v>
      </c>
    </row>
    <row r="87" spans="1:9" ht="12.75" customHeight="1" x14ac:dyDescent="0.2">
      <c r="A87" s="4" t="str">
        <f>'(Compute)'!B261</f>
        <v>Q4 2010</v>
      </c>
      <c r="B87" s="4" t="str">
        <f>'(Compute)'!D261</f>
        <v>Q1 2011</v>
      </c>
      <c r="C87" s="4" t="str">
        <f>'(Compute)'!E261</f>
        <v>Q2 2011</v>
      </c>
      <c r="D87" s="4" t="str">
        <f>'(Compute)'!F261</f>
        <v>Q3 2011</v>
      </c>
      <c r="E87" s="4" t="str">
        <f>'(Compute)'!G261</f>
        <v>Q4 2011</v>
      </c>
      <c r="F87" s="4" t="str">
        <f>'(Compute)'!I261</f>
        <v>Q1 2012</v>
      </c>
      <c r="G87" s="4" t="str">
        <f>'(Compute)'!J261</f>
        <v>Q2 2012</v>
      </c>
      <c r="H87" s="4" t="str">
        <f>'(Compute)'!K261</f>
        <v>Q3 2012</v>
      </c>
      <c r="I87" s="4" t="str">
        <f>'(Compute)'!L261</f>
        <v>Q4 2012</v>
      </c>
    </row>
    <row r="88" spans="1:9" ht="12.75" customHeight="1" x14ac:dyDescent="0.2">
      <c r="A88" s="4">
        <f>'(Compute)'!B258</f>
        <v>40452</v>
      </c>
      <c r="B88" s="4">
        <f>'(Compute)'!D258</f>
        <v>40544</v>
      </c>
      <c r="C88" s="4">
        <f>'(Compute)'!E258</f>
        <v>40634</v>
      </c>
      <c r="D88" s="4">
        <f>'(Compute)'!F258</f>
        <v>40725</v>
      </c>
      <c r="E88" s="4">
        <f>'(Compute)'!G258</f>
        <v>40817</v>
      </c>
      <c r="F88" s="4">
        <f>'(Compute)'!I258</f>
        <v>40909</v>
      </c>
      <c r="G88" s="4">
        <f>'(Compute)'!J258</f>
        <v>41000</v>
      </c>
      <c r="H88" s="4">
        <f>'(Compute)'!K258</f>
        <v>41091</v>
      </c>
      <c r="I88" s="4">
        <f>'(Compute)'!L258</f>
        <v>41183</v>
      </c>
    </row>
    <row r="89" spans="1:9" ht="12.75" customHeight="1" x14ac:dyDescent="0.2">
      <c r="A89" s="239">
        <f>'EqF Subproject 1'!B55</f>
        <v>0</v>
      </c>
      <c r="B89" s="239">
        <f>'EqF Subproject 1'!D55</f>
        <v>0</v>
      </c>
      <c r="C89" s="239">
        <f>'EqF Subproject 1'!E55</f>
        <v>0</v>
      </c>
      <c r="D89" s="239">
        <f>'EqF Subproject 1'!F55</f>
        <v>0</v>
      </c>
      <c r="E89" s="239">
        <f>'EqF Subproject 1'!G55</f>
        <v>0</v>
      </c>
      <c r="F89" s="239">
        <f>'EqF Subproject 1'!I55</f>
        <v>0</v>
      </c>
      <c r="G89" s="239">
        <f>'EqF Subproject 1'!J55</f>
        <v>0</v>
      </c>
      <c r="H89" s="239">
        <f>'EqF Subproject 1'!K55</f>
        <v>0</v>
      </c>
      <c r="I89" s="239">
        <f>'EqF Subproject 1'!L55</f>
        <v>0</v>
      </c>
    </row>
    <row r="90" spans="1:9" ht="12.75" customHeight="1" x14ac:dyDescent="0.2">
      <c r="A90" s="239">
        <f>'EqF Subproject 2'!B55</f>
        <v>0</v>
      </c>
      <c r="B90" s="239">
        <f>'EqF Subproject 2'!D55</f>
        <v>0</v>
      </c>
      <c r="C90" s="239">
        <f>'EqF Subproject 2'!E55</f>
        <v>0</v>
      </c>
      <c r="D90" s="239">
        <f>'EqF Subproject 2'!F55</f>
        <v>0</v>
      </c>
      <c r="E90" s="239">
        <f>'EqF Subproject 2'!G55</f>
        <v>0</v>
      </c>
      <c r="F90" s="239">
        <f>'EqF Subproject 2'!I55</f>
        <v>0</v>
      </c>
      <c r="G90" s="239">
        <f>'EqF Subproject 2'!J55</f>
        <v>0</v>
      </c>
      <c r="H90" s="239">
        <f>'EqF Subproject 2'!K55</f>
        <v>0</v>
      </c>
      <c r="I90" s="239">
        <f>'EqF Subproject 2'!L55</f>
        <v>0</v>
      </c>
    </row>
    <row r="91" spans="1:9" ht="12.75" customHeight="1" x14ac:dyDescent="0.2">
      <c r="A91" s="239">
        <f>'Blended Fin'!B209</f>
        <v>0</v>
      </c>
      <c r="B91" s="239">
        <f>'Blended Fin'!D209</f>
        <v>0</v>
      </c>
      <c r="C91" s="239">
        <f>'Blended Fin'!E209</f>
        <v>0</v>
      </c>
      <c r="D91" s="239">
        <f>'Blended Fin'!F209</f>
        <v>0</v>
      </c>
      <c r="E91" s="239">
        <f>'Blended Fin'!G209</f>
        <v>0</v>
      </c>
      <c r="F91" s="239">
        <f>'Blended Fin'!I209</f>
        <v>0</v>
      </c>
      <c r="G91" s="239">
        <f>'Blended Fin'!J209</f>
        <v>0</v>
      </c>
      <c r="H91" s="239">
        <f>'Blended Fin'!K209</f>
        <v>0</v>
      </c>
      <c r="I91" s="239">
        <f>'Blended Fin'!L209</f>
        <v>0</v>
      </c>
    </row>
    <row r="92" spans="1:9" ht="12.75" customHeight="1" x14ac:dyDescent="0.2">
      <c r="A92" s="4" t="str">
        <f>'(Compute)'!B267</f>
        <v>Q4 2010</v>
      </c>
      <c r="B92" s="4" t="str">
        <f>'(Compute)'!D267</f>
        <v>Q1 2011</v>
      </c>
      <c r="C92" s="4" t="str">
        <f>'(Compute)'!E267</f>
        <v>Q2 2011</v>
      </c>
      <c r="D92" s="4" t="str">
        <f>'(Compute)'!F267</f>
        <v>Q3 2011</v>
      </c>
      <c r="E92" s="4" t="str">
        <f>'(Compute)'!G267</f>
        <v>Q4 2011</v>
      </c>
      <c r="F92" s="4" t="str">
        <f>'(Compute)'!I267</f>
        <v>Q1 2012</v>
      </c>
      <c r="G92" s="4" t="str">
        <f>'(Compute)'!J267</f>
        <v>Q2 2012</v>
      </c>
      <c r="H92" s="4" t="str">
        <f>'(Compute)'!K267</f>
        <v>Q3 2012</v>
      </c>
      <c r="I92" s="4" t="str">
        <f>'(Compute)'!L267</f>
        <v>Q4 2012</v>
      </c>
    </row>
    <row r="93" spans="1:9" ht="12.75" customHeight="1" x14ac:dyDescent="0.2">
      <c r="A93" s="4">
        <f>'(Compute)'!B264</f>
        <v>40452</v>
      </c>
      <c r="B93" s="4">
        <f>'(Compute)'!D264</f>
        <v>40544</v>
      </c>
      <c r="C93" s="4">
        <f>'(Compute)'!E264</f>
        <v>40634</v>
      </c>
      <c r="D93" s="4">
        <f>'(Compute)'!F264</f>
        <v>40725</v>
      </c>
      <c r="E93" s="4">
        <f>'(Compute)'!G264</f>
        <v>40817</v>
      </c>
      <c r="F93" s="4">
        <f>'(Compute)'!I264</f>
        <v>40909</v>
      </c>
      <c r="G93" s="4">
        <f>'(Compute)'!J264</f>
        <v>41000</v>
      </c>
      <c r="H93" s="4">
        <f>'(Compute)'!K264</f>
        <v>41091</v>
      </c>
      <c r="I93" s="4">
        <f>'(Compute)'!L264</f>
        <v>41183</v>
      </c>
    </row>
    <row r="94" spans="1:9" ht="12.75" customHeight="1" x14ac:dyDescent="0.2">
      <c r="A94" s="239">
        <f>'Blended Fin'!B167</f>
        <v>0</v>
      </c>
      <c r="B94" s="239">
        <f>'Blended Fin'!D167</f>
        <v>0</v>
      </c>
      <c r="C94" s="239">
        <f>'Blended Fin'!E167</f>
        <v>0</v>
      </c>
      <c r="D94" s="239">
        <f>'Blended Fin'!F167</f>
        <v>0</v>
      </c>
      <c r="E94" s="239">
        <f>'Blended Fin'!G167</f>
        <v>0</v>
      </c>
      <c r="F94" s="239">
        <f>'Blended Fin'!I167</f>
        <v>0</v>
      </c>
      <c r="G94" s="239">
        <f>'Blended Fin'!J167</f>
        <v>0</v>
      </c>
      <c r="H94" s="239">
        <f>'Blended Fin'!K167</f>
        <v>0</v>
      </c>
      <c r="I94" s="239">
        <f>'Blended Fin'!L167</f>
        <v>0</v>
      </c>
    </row>
    <row r="95" spans="1:9" ht="12.75" customHeight="1" x14ac:dyDescent="0.2">
      <c r="A95" s="239">
        <f>'Blended Fin'!B168</f>
        <v>0</v>
      </c>
      <c r="B95" s="239">
        <f>'Blended Fin'!D168</f>
        <v>0</v>
      </c>
      <c r="C95" s="239">
        <f>'Blended Fin'!E168</f>
        <v>0</v>
      </c>
      <c r="D95" s="239">
        <f>'Blended Fin'!F168</f>
        <v>0</v>
      </c>
      <c r="E95" s="239">
        <f>'Blended Fin'!G168</f>
        <v>0</v>
      </c>
      <c r="F95" s="239">
        <f>'Blended Fin'!I168</f>
        <v>0</v>
      </c>
      <c r="G95" s="239">
        <f>'Blended Fin'!J168</f>
        <v>0</v>
      </c>
      <c r="H95" s="239">
        <f>'Blended Fin'!K168</f>
        <v>0</v>
      </c>
      <c r="I95" s="239">
        <f>'Blended Fin'!L168</f>
        <v>0</v>
      </c>
    </row>
    <row r="96" spans="1:9" ht="12.75" customHeight="1" x14ac:dyDescent="0.2">
      <c r="A96" s="239">
        <f>'Blended Fin'!B169</f>
        <v>0</v>
      </c>
      <c r="B96" s="239">
        <f>'Blended Fin'!D169</f>
        <v>0</v>
      </c>
      <c r="C96" s="239">
        <f>'Blended Fin'!E169</f>
        <v>0</v>
      </c>
      <c r="D96" s="239">
        <f>'Blended Fin'!F169</f>
        <v>0</v>
      </c>
      <c r="E96" s="239">
        <f>'Blended Fin'!G169</f>
        <v>0</v>
      </c>
      <c r="F96" s="239">
        <f>'Blended Fin'!I169</f>
        <v>0</v>
      </c>
      <c r="G96" s="239">
        <f>'Blended Fin'!J169</f>
        <v>0</v>
      </c>
      <c r="H96" s="239">
        <f>'Blended Fin'!K169</f>
        <v>0</v>
      </c>
      <c r="I96" s="239">
        <f>'Blended Fin'!L169</f>
        <v>0</v>
      </c>
    </row>
    <row r="97" spans="1:9" ht="12.75" customHeight="1" x14ac:dyDescent="0.2">
      <c r="A97" s="239">
        <f>'Blended Fin'!B171</f>
        <v>0</v>
      </c>
      <c r="B97" s="239">
        <f>'Blended Fin'!D171</f>
        <v>0</v>
      </c>
      <c r="C97" s="239">
        <f>'Blended Fin'!E171</f>
        <v>0</v>
      </c>
      <c r="D97" s="239">
        <f>'Blended Fin'!F171</f>
        <v>0</v>
      </c>
      <c r="E97" s="239">
        <f>'Blended Fin'!G171</f>
        <v>0</v>
      </c>
      <c r="F97" s="239">
        <f>'Blended Fin'!I171</f>
        <v>0</v>
      </c>
      <c r="G97" s="239">
        <f>'Blended Fin'!J171</f>
        <v>0</v>
      </c>
      <c r="H97" s="239">
        <f>'Blended Fin'!K171</f>
        <v>0</v>
      </c>
      <c r="I97" s="239">
        <f>'Blended Fin'!L171</f>
        <v>0</v>
      </c>
    </row>
    <row r="98" spans="1:9" ht="12.75" customHeight="1" x14ac:dyDescent="0.2">
      <c r="A98" s="239">
        <f>'Blended Fin'!B172</f>
        <v>0</v>
      </c>
      <c r="B98" s="239">
        <f>'Blended Fin'!D172</f>
        <v>0</v>
      </c>
      <c r="C98" s="239">
        <f>'Blended Fin'!E172</f>
        <v>0</v>
      </c>
      <c r="D98" s="239">
        <f>'Blended Fin'!F172</f>
        <v>0</v>
      </c>
      <c r="E98" s="239">
        <f>'Blended Fin'!G172</f>
        <v>0</v>
      </c>
      <c r="F98" s="239">
        <f>'Blended Fin'!I172</f>
        <v>0</v>
      </c>
      <c r="G98" s="239">
        <f>'Blended Fin'!J172</f>
        <v>0</v>
      </c>
      <c r="H98" s="239">
        <f>'Blended Fin'!K172</f>
        <v>0</v>
      </c>
      <c r="I98" s="239">
        <f>'Blended Fin'!L172</f>
        <v>0</v>
      </c>
    </row>
    <row r="99" spans="1:9" ht="12.75" customHeight="1" x14ac:dyDescent="0.2">
      <c r="A99" s="239">
        <f>'Blended Fin'!B173</f>
        <v>0</v>
      </c>
      <c r="B99" s="239">
        <f>'Blended Fin'!D173</f>
        <v>0</v>
      </c>
      <c r="C99" s="239">
        <f>'Blended Fin'!E173</f>
        <v>0</v>
      </c>
      <c r="D99" s="239">
        <f>'Blended Fin'!F173</f>
        <v>0</v>
      </c>
      <c r="E99" s="239">
        <f>'Blended Fin'!G173</f>
        <v>0</v>
      </c>
      <c r="F99" s="239">
        <f>'Blended Fin'!I173</f>
        <v>0</v>
      </c>
      <c r="G99" s="239">
        <f>'Blended Fin'!J173</f>
        <v>0</v>
      </c>
      <c r="H99" s="239">
        <f>'Blended Fin'!K173</f>
        <v>0</v>
      </c>
      <c r="I99" s="239">
        <f>'Blended Fin'!L173</f>
        <v>0</v>
      </c>
    </row>
    <row r="100" spans="1:9" ht="12.75" customHeight="1" x14ac:dyDescent="0.2">
      <c r="A100" s="239">
        <f>'Blended Fin'!B175</f>
        <v>0</v>
      </c>
      <c r="B100" s="239">
        <f>'Blended Fin'!D175</f>
        <v>0</v>
      </c>
      <c r="C100" s="239">
        <f>'Blended Fin'!E175</f>
        <v>0</v>
      </c>
      <c r="D100" s="239">
        <f>'Blended Fin'!F175</f>
        <v>0</v>
      </c>
      <c r="E100" s="239">
        <f>'Blended Fin'!G175</f>
        <v>0</v>
      </c>
      <c r="F100" s="239">
        <f>'Blended Fin'!I175</f>
        <v>0</v>
      </c>
      <c r="G100" s="239">
        <f>'Blended Fin'!J175</f>
        <v>0</v>
      </c>
      <c r="H100" s="239">
        <f>'Blended Fin'!K175</f>
        <v>0</v>
      </c>
      <c r="I100" s="239">
        <f>'Blended Fin'!L175</f>
        <v>0</v>
      </c>
    </row>
    <row r="101" spans="1:9" ht="12.75" customHeight="1" x14ac:dyDescent="0.2">
      <c r="A101" s="239">
        <f>'Blended Fin'!B176</f>
        <v>0</v>
      </c>
      <c r="B101" s="239">
        <f>'Blended Fin'!D176</f>
        <v>0</v>
      </c>
      <c r="C101" s="239">
        <f>'Blended Fin'!E176</f>
        <v>0</v>
      </c>
      <c r="D101" s="239">
        <f>'Blended Fin'!F176</f>
        <v>0</v>
      </c>
      <c r="E101" s="239">
        <f>'Blended Fin'!G176</f>
        <v>0</v>
      </c>
      <c r="F101" s="239">
        <f>'Blended Fin'!I176</f>
        <v>0</v>
      </c>
      <c r="G101" s="239">
        <f>'Blended Fin'!J176</f>
        <v>0</v>
      </c>
      <c r="H101" s="239">
        <f>'Blended Fin'!K176</f>
        <v>0</v>
      </c>
      <c r="I101" s="239">
        <f>'Blended Fin'!L176</f>
        <v>0</v>
      </c>
    </row>
    <row r="102" spans="1:9" ht="12.75" customHeight="1" x14ac:dyDescent="0.2">
      <c r="A102" s="239">
        <f>'Blended Fin'!B177</f>
        <v>0</v>
      </c>
      <c r="B102" s="239">
        <f>'Blended Fin'!D177</f>
        <v>0</v>
      </c>
      <c r="C102" s="239">
        <f>'Blended Fin'!E177</f>
        <v>0</v>
      </c>
      <c r="D102" s="239">
        <f>'Blended Fin'!F177</f>
        <v>0</v>
      </c>
      <c r="E102" s="239">
        <f>'Blended Fin'!G177</f>
        <v>0</v>
      </c>
      <c r="F102" s="239">
        <f>'Blended Fin'!I177</f>
        <v>0</v>
      </c>
      <c r="G102" s="239">
        <f>'Blended Fin'!J177</f>
        <v>0</v>
      </c>
      <c r="H102" s="239">
        <f>'Blended Fin'!K177</f>
        <v>0</v>
      </c>
      <c r="I102" s="239">
        <f>'Blended Fin'!L177</f>
        <v>0</v>
      </c>
    </row>
    <row r="103" spans="1:9" ht="12.75" customHeight="1" x14ac:dyDescent="0.2">
      <c r="A103" s="239">
        <f>'Blended Fin'!B179</f>
        <v>0</v>
      </c>
      <c r="B103" s="239">
        <f>'Blended Fin'!D179</f>
        <v>0</v>
      </c>
      <c r="C103" s="239">
        <f>'Blended Fin'!E179</f>
        <v>0</v>
      </c>
      <c r="D103" s="239">
        <f>'Blended Fin'!F179</f>
        <v>0</v>
      </c>
      <c r="E103" s="239">
        <f>'Blended Fin'!G179</f>
        <v>0</v>
      </c>
      <c r="F103" s="239">
        <f>'Blended Fin'!I179</f>
        <v>0</v>
      </c>
      <c r="G103" s="239">
        <f>'Blended Fin'!J179</f>
        <v>0</v>
      </c>
      <c r="H103" s="239">
        <f>'Blended Fin'!K179</f>
        <v>0</v>
      </c>
      <c r="I103" s="239">
        <f>'Blended Fin'!L179</f>
        <v>0</v>
      </c>
    </row>
    <row r="104" spans="1:9" ht="12.75" customHeight="1" x14ac:dyDescent="0.2">
      <c r="A104" s="239">
        <f>'Blended Fin'!B180</f>
        <v>0</v>
      </c>
      <c r="B104" s="239">
        <f>'Blended Fin'!D180</f>
        <v>0</v>
      </c>
      <c r="C104" s="239">
        <f>'Blended Fin'!E180</f>
        <v>0</v>
      </c>
      <c r="D104" s="239">
        <f>'Blended Fin'!F180</f>
        <v>0</v>
      </c>
      <c r="E104" s="239">
        <f>'Blended Fin'!G180</f>
        <v>0</v>
      </c>
      <c r="F104" s="239">
        <f>'Blended Fin'!I180</f>
        <v>0</v>
      </c>
      <c r="G104" s="239">
        <f>'Blended Fin'!J180</f>
        <v>0</v>
      </c>
      <c r="H104" s="239">
        <f>'Blended Fin'!K180</f>
        <v>0</v>
      </c>
      <c r="I104" s="239">
        <f>'Blended Fin'!L180</f>
        <v>0</v>
      </c>
    </row>
    <row r="105" spans="1:9" ht="12.75" customHeight="1" x14ac:dyDescent="0.2">
      <c r="A105" s="239">
        <f>'Blended Fin'!B181</f>
        <v>0</v>
      </c>
      <c r="B105" s="239">
        <f>'Blended Fin'!D181</f>
        <v>0</v>
      </c>
      <c r="C105" s="239">
        <f>'Blended Fin'!E181</f>
        <v>0</v>
      </c>
      <c r="D105" s="239">
        <f>'Blended Fin'!F181</f>
        <v>0</v>
      </c>
      <c r="E105" s="239">
        <f>'Blended Fin'!G181</f>
        <v>0</v>
      </c>
      <c r="F105" s="239">
        <f>'Blended Fin'!I181</f>
        <v>0</v>
      </c>
      <c r="G105" s="239">
        <f>'Blended Fin'!J181</f>
        <v>0</v>
      </c>
      <c r="H105" s="239">
        <f>'Blended Fin'!K181</f>
        <v>0</v>
      </c>
      <c r="I105" s="239">
        <f>'Blended Fin'!L181</f>
        <v>0</v>
      </c>
    </row>
    <row r="106" spans="1:9" ht="12.75" customHeight="1" x14ac:dyDescent="0.2">
      <c r="A106" s="239">
        <f>'Blended Fin'!B183</f>
        <v>0</v>
      </c>
      <c r="B106" s="239">
        <f>'Blended Fin'!D183</f>
        <v>0</v>
      </c>
      <c r="C106" s="239">
        <f>'Blended Fin'!E183</f>
        <v>0</v>
      </c>
      <c r="D106" s="239">
        <f>'Blended Fin'!F183</f>
        <v>0</v>
      </c>
      <c r="E106" s="239">
        <f>'Blended Fin'!G183</f>
        <v>0</v>
      </c>
      <c r="F106" s="239">
        <f>'Blended Fin'!I183</f>
        <v>0</v>
      </c>
      <c r="G106" s="239">
        <f>'Blended Fin'!J183</f>
        <v>0</v>
      </c>
      <c r="H106" s="239">
        <f>'Blended Fin'!K183</f>
        <v>0</v>
      </c>
      <c r="I106" s="239">
        <f>'Blended Fin'!L183</f>
        <v>0</v>
      </c>
    </row>
    <row r="107" spans="1:9" ht="12.75" customHeight="1" x14ac:dyDescent="0.2">
      <c r="A107" s="239">
        <f>'Blended Fin'!B184</f>
        <v>0</v>
      </c>
      <c r="B107" s="239">
        <f>'Blended Fin'!D184</f>
        <v>0</v>
      </c>
      <c r="C107" s="239">
        <f>'Blended Fin'!E184</f>
        <v>0</v>
      </c>
      <c r="D107" s="239">
        <f>'Blended Fin'!F184</f>
        <v>0</v>
      </c>
      <c r="E107" s="239">
        <f>'Blended Fin'!G184</f>
        <v>0</v>
      </c>
      <c r="F107" s="239">
        <f>'Blended Fin'!I184</f>
        <v>0</v>
      </c>
      <c r="G107" s="239">
        <f>'Blended Fin'!J184</f>
        <v>0</v>
      </c>
      <c r="H107" s="239">
        <f>'Blended Fin'!K184</f>
        <v>0</v>
      </c>
      <c r="I107" s="239">
        <f>'Blended Fin'!L184</f>
        <v>0</v>
      </c>
    </row>
    <row r="108" spans="1:9" ht="12.75" customHeight="1" x14ac:dyDescent="0.2">
      <c r="A108" s="239">
        <f>'Blended Fin'!B185</f>
        <v>0</v>
      </c>
      <c r="B108" s="239">
        <f>'Blended Fin'!D185</f>
        <v>0</v>
      </c>
      <c r="C108" s="239">
        <f>'Blended Fin'!E185</f>
        <v>0</v>
      </c>
      <c r="D108" s="239">
        <f>'Blended Fin'!F185</f>
        <v>0</v>
      </c>
      <c r="E108" s="239">
        <f>'Blended Fin'!G185</f>
        <v>0</v>
      </c>
      <c r="F108" s="239">
        <f>'Blended Fin'!I185</f>
        <v>0</v>
      </c>
      <c r="G108" s="239">
        <f>'Blended Fin'!J185</f>
        <v>0</v>
      </c>
      <c r="H108" s="239">
        <f>'Blended Fin'!K185</f>
        <v>0</v>
      </c>
      <c r="I108" s="239">
        <f>'Blended Fin'!L185</f>
        <v>0</v>
      </c>
    </row>
    <row r="109" spans="1:9" ht="12.75" customHeight="1" x14ac:dyDescent="0.2">
      <c r="A109" s="239">
        <f>'Blended Fin'!B187</f>
        <v>0</v>
      </c>
      <c r="B109" s="239">
        <f>'Blended Fin'!D187</f>
        <v>0</v>
      </c>
      <c r="C109" s="239">
        <f>'Blended Fin'!E187</f>
        <v>0</v>
      </c>
      <c r="D109" s="239">
        <f>'Blended Fin'!F187</f>
        <v>0</v>
      </c>
      <c r="E109" s="239">
        <f>'Blended Fin'!G187</f>
        <v>0</v>
      </c>
      <c r="F109" s="239">
        <f>'Blended Fin'!I187</f>
        <v>0</v>
      </c>
      <c r="G109" s="239">
        <f>'Blended Fin'!J187</f>
        <v>0</v>
      </c>
      <c r="H109" s="239">
        <f>'Blended Fin'!K187</f>
        <v>0</v>
      </c>
      <c r="I109" s="239">
        <f>'Blended Fin'!L187</f>
        <v>0</v>
      </c>
    </row>
    <row r="110" spans="1:9" ht="12.75" customHeight="1" x14ac:dyDescent="0.2">
      <c r="A110" s="239">
        <f>'Blended Fin'!B188</f>
        <v>0</v>
      </c>
      <c r="B110" s="239">
        <f>'Blended Fin'!D188</f>
        <v>0</v>
      </c>
      <c r="C110" s="239">
        <f>'Blended Fin'!E188</f>
        <v>0</v>
      </c>
      <c r="D110" s="239">
        <f>'Blended Fin'!F188</f>
        <v>0</v>
      </c>
      <c r="E110" s="239">
        <f>'Blended Fin'!G188</f>
        <v>0</v>
      </c>
      <c r="F110" s="239">
        <f>'Blended Fin'!I188</f>
        <v>0</v>
      </c>
      <c r="G110" s="239">
        <f>'Blended Fin'!J188</f>
        <v>0</v>
      </c>
      <c r="H110" s="239">
        <f>'Blended Fin'!K188</f>
        <v>0</v>
      </c>
      <c r="I110" s="239">
        <f>'Blended Fin'!L188</f>
        <v>0</v>
      </c>
    </row>
    <row r="111" spans="1:9" ht="12.75" customHeight="1" x14ac:dyDescent="0.2">
      <c r="A111" s="239">
        <f>'Blended Fin'!B189</f>
        <v>0</v>
      </c>
      <c r="B111" s="239">
        <f>'Blended Fin'!D189</f>
        <v>0</v>
      </c>
      <c r="C111" s="239">
        <f>'Blended Fin'!E189</f>
        <v>0</v>
      </c>
      <c r="D111" s="239">
        <f>'Blended Fin'!F189</f>
        <v>0</v>
      </c>
      <c r="E111" s="239">
        <f>'Blended Fin'!G189</f>
        <v>0</v>
      </c>
      <c r="F111" s="239">
        <f>'Blended Fin'!I189</f>
        <v>0</v>
      </c>
      <c r="G111" s="239">
        <f>'Blended Fin'!J189</f>
        <v>0</v>
      </c>
      <c r="H111" s="239">
        <f>'Blended Fin'!K189</f>
        <v>0</v>
      </c>
      <c r="I111" s="239">
        <f>'Blended Fin'!L189</f>
        <v>0</v>
      </c>
    </row>
    <row r="112" spans="1:9" ht="12.75" customHeight="1" x14ac:dyDescent="0.2">
      <c r="A112" s="239">
        <f>'Blended Fin'!B191</f>
        <v>0</v>
      </c>
      <c r="B112" s="239">
        <f>'Blended Fin'!D191</f>
        <v>0</v>
      </c>
      <c r="C112" s="239">
        <f>'Blended Fin'!E191</f>
        <v>0</v>
      </c>
      <c r="D112" s="239">
        <f>'Blended Fin'!F191</f>
        <v>0</v>
      </c>
      <c r="E112" s="239">
        <f>'Blended Fin'!G191</f>
        <v>0</v>
      </c>
      <c r="F112" s="239">
        <f>'Blended Fin'!I191</f>
        <v>0</v>
      </c>
      <c r="G112" s="239">
        <f>'Blended Fin'!J191</f>
        <v>0</v>
      </c>
      <c r="H112" s="239">
        <f>'Blended Fin'!K191</f>
        <v>0</v>
      </c>
      <c r="I112" s="239">
        <f>'Blended Fin'!L191</f>
        <v>0</v>
      </c>
    </row>
    <row r="113" spans="1:9" ht="12.75" customHeight="1" x14ac:dyDescent="0.2">
      <c r="A113" s="239">
        <f>'Blended Fin'!B192</f>
        <v>0</v>
      </c>
      <c r="B113" s="239">
        <f>'Blended Fin'!D192</f>
        <v>0</v>
      </c>
      <c r="C113" s="239">
        <f>'Blended Fin'!E192</f>
        <v>0</v>
      </c>
      <c r="D113" s="239">
        <f>'Blended Fin'!F192</f>
        <v>0</v>
      </c>
      <c r="E113" s="239">
        <f>'Blended Fin'!G192</f>
        <v>0</v>
      </c>
      <c r="F113" s="239">
        <f>'Blended Fin'!I192</f>
        <v>0</v>
      </c>
      <c r="G113" s="239">
        <f>'Blended Fin'!J192</f>
        <v>0</v>
      </c>
      <c r="H113" s="239">
        <f>'Blended Fin'!K192</f>
        <v>0</v>
      </c>
      <c r="I113" s="239">
        <f>'Blended Fin'!L192</f>
        <v>0</v>
      </c>
    </row>
    <row r="114" spans="1:9" ht="12.75" customHeight="1" x14ac:dyDescent="0.2">
      <c r="A114" s="239">
        <f>'Blended Fin'!B193</f>
        <v>0</v>
      </c>
      <c r="B114" s="239">
        <f>'Blended Fin'!D193</f>
        <v>0</v>
      </c>
      <c r="C114" s="239">
        <f>'Blended Fin'!E193</f>
        <v>0</v>
      </c>
      <c r="D114" s="239">
        <f>'Blended Fin'!F193</f>
        <v>0</v>
      </c>
      <c r="E114" s="239">
        <f>'Blended Fin'!G193</f>
        <v>0</v>
      </c>
      <c r="F114" s="239">
        <f>'Blended Fin'!I193</f>
        <v>0</v>
      </c>
      <c r="G114" s="239">
        <f>'Blended Fin'!J193</f>
        <v>0</v>
      </c>
      <c r="H114" s="239">
        <f>'Blended Fin'!K193</f>
        <v>0</v>
      </c>
      <c r="I114" s="239">
        <f>'Blended Fin'!L193</f>
        <v>0</v>
      </c>
    </row>
    <row r="115" spans="1:9" ht="12.75" customHeight="1" x14ac:dyDescent="0.2">
      <c r="A115" s="239">
        <f>'Blended Fin'!B195</f>
        <v>0</v>
      </c>
      <c r="B115" s="239">
        <f>'Blended Fin'!D195</f>
        <v>0</v>
      </c>
      <c r="C115" s="239">
        <f>'Blended Fin'!E195</f>
        <v>0</v>
      </c>
      <c r="D115" s="239">
        <f>'Blended Fin'!F195</f>
        <v>0</v>
      </c>
      <c r="E115" s="239">
        <f>'Blended Fin'!G195</f>
        <v>0</v>
      </c>
      <c r="F115" s="239">
        <f>'Blended Fin'!I195</f>
        <v>0</v>
      </c>
      <c r="G115" s="239">
        <f>'Blended Fin'!J195</f>
        <v>0</v>
      </c>
      <c r="H115" s="239">
        <f>'Blended Fin'!K195</f>
        <v>0</v>
      </c>
      <c r="I115" s="239">
        <f>'Blended Fin'!L195</f>
        <v>0</v>
      </c>
    </row>
    <row r="116" spans="1:9" ht="12.75" customHeight="1" x14ac:dyDescent="0.2">
      <c r="A116" s="239">
        <f>'Blended Fin'!B196</f>
        <v>0</v>
      </c>
      <c r="B116" s="239">
        <f>'Blended Fin'!D196</f>
        <v>0</v>
      </c>
      <c r="C116" s="239">
        <f>'Blended Fin'!E196</f>
        <v>0</v>
      </c>
      <c r="D116" s="239">
        <f>'Blended Fin'!F196</f>
        <v>0</v>
      </c>
      <c r="E116" s="239">
        <f>'Blended Fin'!G196</f>
        <v>0</v>
      </c>
      <c r="F116" s="239">
        <f>'Blended Fin'!I196</f>
        <v>0</v>
      </c>
      <c r="G116" s="239">
        <f>'Blended Fin'!J196</f>
        <v>0</v>
      </c>
      <c r="H116" s="239">
        <f>'Blended Fin'!K196</f>
        <v>0</v>
      </c>
      <c r="I116" s="239">
        <f>'Blended Fin'!L196</f>
        <v>0</v>
      </c>
    </row>
    <row r="117" spans="1:9" ht="12.75" customHeight="1" x14ac:dyDescent="0.2">
      <c r="A117" s="239">
        <f>'Blended Fin'!B197</f>
        <v>0</v>
      </c>
      <c r="B117" s="239">
        <f>'Blended Fin'!D197</f>
        <v>0</v>
      </c>
      <c r="C117" s="239">
        <f>'Blended Fin'!E197</f>
        <v>0</v>
      </c>
      <c r="D117" s="239">
        <f>'Blended Fin'!F197</f>
        <v>0</v>
      </c>
      <c r="E117" s="239">
        <f>'Blended Fin'!G197</f>
        <v>0</v>
      </c>
      <c r="F117" s="239">
        <f>'Blended Fin'!I197</f>
        <v>0</v>
      </c>
      <c r="G117" s="239">
        <f>'Blended Fin'!J197</f>
        <v>0</v>
      </c>
      <c r="H117" s="239">
        <f>'Blended Fin'!K197</f>
        <v>0</v>
      </c>
      <c r="I117" s="239">
        <f>'Blended Fin'!L197</f>
        <v>0</v>
      </c>
    </row>
    <row r="118" spans="1:9" ht="12.75" customHeight="1" x14ac:dyDescent="0.2">
      <c r="A118" s="239">
        <f>'Blended Fin'!B198</f>
        <v>0</v>
      </c>
      <c r="B118" s="239">
        <f>'Blended Fin'!D198</f>
        <v>0</v>
      </c>
      <c r="C118" s="239">
        <f>'Blended Fin'!E198</f>
        <v>0</v>
      </c>
      <c r="D118" s="239">
        <f>'Blended Fin'!F198</f>
        <v>0</v>
      </c>
      <c r="E118" s="239">
        <f>'Blended Fin'!G198</f>
        <v>0</v>
      </c>
      <c r="F118" s="239">
        <f>'Blended Fin'!I198</f>
        <v>0</v>
      </c>
      <c r="G118" s="239">
        <f>'Blended Fin'!J198</f>
        <v>0</v>
      </c>
      <c r="H118" s="239">
        <f>'Blended Fin'!K198</f>
        <v>0</v>
      </c>
      <c r="I118" s="239">
        <f>'Blended Fin'!L198</f>
        <v>0</v>
      </c>
    </row>
    <row r="119" spans="1:9" ht="12.75" customHeight="1" x14ac:dyDescent="0.2">
      <c r="A119" s="4" t="str">
        <f>'(Compute)'!B273</f>
        <v>Q4 2010</v>
      </c>
      <c r="B119" s="4" t="str">
        <f>'(Compute)'!D273</f>
        <v>Q1 2011</v>
      </c>
      <c r="C119" s="4" t="str">
        <f>'(Compute)'!E273</f>
        <v>Q2 2011</v>
      </c>
      <c r="D119" s="4" t="str">
        <f>'(Compute)'!F273</f>
        <v>Q3 2011</v>
      </c>
      <c r="E119" s="4" t="str">
        <f>'(Compute)'!G273</f>
        <v>Q4 2011</v>
      </c>
      <c r="F119" s="4" t="str">
        <f>'(Compute)'!I273</f>
        <v>Q1 2012</v>
      </c>
      <c r="G119" s="4" t="str">
        <f>'(Compute)'!J273</f>
        <v>Q2 2012</v>
      </c>
      <c r="H119" s="4" t="str">
        <f>'(Compute)'!K273</f>
        <v>Q3 2012</v>
      </c>
      <c r="I119" s="4" t="str">
        <f>'(Compute)'!L273</f>
        <v>Q4 2012</v>
      </c>
    </row>
    <row r="120" spans="1:9" ht="12.75" customHeight="1" x14ac:dyDescent="0.2">
      <c r="A120" s="4">
        <f>'(Compute)'!B270</f>
        <v>40452</v>
      </c>
      <c r="B120" s="4">
        <f>'(Compute)'!D270</f>
        <v>40544</v>
      </c>
      <c r="C120" s="4">
        <f>'(Compute)'!E270</f>
        <v>40634</v>
      </c>
      <c r="D120" s="4">
        <f>'(Compute)'!F270</f>
        <v>40725</v>
      </c>
      <c r="E120" s="4">
        <f>'(Compute)'!G270</f>
        <v>40817</v>
      </c>
      <c r="F120" s="4">
        <f>'(Compute)'!I270</f>
        <v>40909</v>
      </c>
      <c r="G120" s="4">
        <f>'(Compute)'!J270</f>
        <v>41000</v>
      </c>
      <c r="H120" s="4">
        <f>'(Compute)'!K270</f>
        <v>41091</v>
      </c>
      <c r="I120" s="4">
        <f>'(Compute)'!L270</f>
        <v>41183</v>
      </c>
    </row>
    <row r="121" spans="1:9" ht="12.75" customHeight="1" x14ac:dyDescent="0.2">
      <c r="A121" s="240">
        <f>'Plot Support'!B6</f>
        <v>0</v>
      </c>
      <c r="B121" s="240">
        <f>'Plot Support'!D6</f>
        <v>0</v>
      </c>
      <c r="C121" s="240">
        <f>'Plot Support'!E6</f>
        <v>0</v>
      </c>
      <c r="D121" s="240">
        <f>'Plot Support'!F6</f>
        <v>0</v>
      </c>
      <c r="E121" s="240">
        <f>'Plot Support'!G6</f>
        <v>0</v>
      </c>
      <c r="F121" s="240">
        <f>'Plot Support'!I6</f>
        <v>0</v>
      </c>
      <c r="G121" s="240">
        <f>'Plot Support'!J6</f>
        <v>0</v>
      </c>
      <c r="H121" s="240">
        <f>'Plot Support'!K6</f>
        <v>0</v>
      </c>
      <c r="I121" s="240">
        <f>'Plot Support'!L6</f>
        <v>0</v>
      </c>
    </row>
    <row r="122" spans="1:9" ht="12.75" customHeight="1" x14ac:dyDescent="0.2">
      <c r="A122" s="240">
        <f>'Plot Support'!B7</f>
        <v>0</v>
      </c>
      <c r="B122" s="240">
        <f>'Plot Support'!D7</f>
        <v>0</v>
      </c>
      <c r="C122" s="240">
        <f>'Plot Support'!E7</f>
        <v>0</v>
      </c>
      <c r="D122" s="240">
        <f>'Plot Support'!F7</f>
        <v>0</v>
      </c>
      <c r="E122" s="240">
        <f>'Plot Support'!G7</f>
        <v>0</v>
      </c>
      <c r="F122" s="240">
        <f>'Plot Support'!I7</f>
        <v>0</v>
      </c>
      <c r="G122" s="240">
        <f>'Plot Support'!J7</f>
        <v>0</v>
      </c>
      <c r="H122" s="240">
        <f>'Plot Support'!K7</f>
        <v>0</v>
      </c>
      <c r="I122" s="240">
        <f>'Plot Support'!L7</f>
        <v>0</v>
      </c>
    </row>
    <row r="123" spans="1:9" ht="12.75" customHeight="1" x14ac:dyDescent="0.2">
      <c r="A123" s="240">
        <f>'Plot Support'!B8</f>
        <v>0</v>
      </c>
      <c r="B123" s="240">
        <f>'Plot Support'!D8</f>
        <v>0</v>
      </c>
      <c r="C123" s="240">
        <f>'Plot Support'!E8</f>
        <v>0</v>
      </c>
      <c r="D123" s="240">
        <f>'Plot Support'!F8</f>
        <v>0</v>
      </c>
      <c r="E123" s="240">
        <f>'Plot Support'!G8</f>
        <v>0</v>
      </c>
      <c r="F123" s="240">
        <f>'Plot Support'!I8</f>
        <v>0</v>
      </c>
      <c r="G123" s="240">
        <f>'Plot Support'!J8</f>
        <v>0</v>
      </c>
      <c r="H123" s="240">
        <f>'Plot Support'!K8</f>
        <v>0</v>
      </c>
      <c r="I123" s="240">
        <f>'Plot Support'!L8</f>
        <v>0</v>
      </c>
    </row>
    <row r="124" spans="1:9" ht="12.75" customHeight="1" x14ac:dyDescent="0.2">
      <c r="A124" s="4" t="str">
        <f>'(Compute)'!B279</f>
        <v>Q4 2010</v>
      </c>
      <c r="B124" s="4" t="str">
        <f>'(Compute)'!D279</f>
        <v>Q1 2011</v>
      </c>
      <c r="C124" s="4" t="str">
        <f>'(Compute)'!E279</f>
        <v>Q2 2011</v>
      </c>
      <c r="D124" s="4" t="str">
        <f>'(Compute)'!F279</f>
        <v>Q3 2011</v>
      </c>
      <c r="E124" s="4" t="str">
        <f>'(Compute)'!G279</f>
        <v>Q4 2011</v>
      </c>
      <c r="F124" s="4" t="str">
        <f>'(Compute)'!I279</f>
        <v>Q1 2012</v>
      </c>
      <c r="G124" s="4" t="str">
        <f>'(Compute)'!J279</f>
        <v>Q2 2012</v>
      </c>
      <c r="H124" s="4" t="str">
        <f>'(Compute)'!K279</f>
        <v>Q3 2012</v>
      </c>
      <c r="I124" s="4" t="str">
        <f>'(Compute)'!L279</f>
        <v>Q4 2012</v>
      </c>
    </row>
    <row r="125" spans="1:9" ht="12.75" customHeight="1" x14ac:dyDescent="0.2">
      <c r="A125" s="4">
        <f>'(Compute)'!B276</f>
        <v>40452</v>
      </c>
      <c r="B125" s="4">
        <f>'(Compute)'!D276</f>
        <v>40544</v>
      </c>
      <c r="C125" s="4">
        <f>'(Compute)'!E276</f>
        <v>40634</v>
      </c>
      <c r="D125" s="4">
        <f>'(Compute)'!F276</f>
        <v>40725</v>
      </c>
      <c r="E125" s="4">
        <f>'(Compute)'!G276</f>
        <v>40817</v>
      </c>
      <c r="F125" s="4">
        <f>'(Compute)'!I276</f>
        <v>40909</v>
      </c>
      <c r="G125" s="4">
        <f>'(Compute)'!J276</f>
        <v>41000</v>
      </c>
      <c r="H125" s="4">
        <f>'(Compute)'!K276</f>
        <v>41091</v>
      </c>
      <c r="I125" s="4">
        <f>'(Compute)'!L276</f>
        <v>41183</v>
      </c>
    </row>
    <row r="126" spans="1:9" ht="12.75" customHeight="1" x14ac:dyDescent="0.2">
      <c r="A126" s="240">
        <f>'Plot Support'!B11</f>
        <v>0</v>
      </c>
      <c r="B126" s="240">
        <f>'Plot Support'!D11</f>
        <v>0</v>
      </c>
      <c r="C126" s="240">
        <f>'Plot Support'!E11</f>
        <v>0</v>
      </c>
      <c r="D126" s="240">
        <f>'Plot Support'!F11</f>
        <v>0</v>
      </c>
      <c r="E126" s="240">
        <f>'Plot Support'!G11</f>
        <v>0</v>
      </c>
      <c r="F126" s="240">
        <f>'Plot Support'!I11</f>
        <v>0</v>
      </c>
      <c r="G126" s="240">
        <f>'Plot Support'!J11</f>
        <v>0</v>
      </c>
      <c r="H126" s="240">
        <f>'Plot Support'!K11</f>
        <v>0</v>
      </c>
      <c r="I126" s="240">
        <f>'Plot Support'!L11</f>
        <v>0</v>
      </c>
    </row>
    <row r="127" spans="1:9" ht="12.75" customHeight="1" x14ac:dyDescent="0.2">
      <c r="A127" s="240">
        <f>'Plot Support'!B12</f>
        <v>0</v>
      </c>
      <c r="B127" s="240">
        <f>'Plot Support'!D12</f>
        <v>0</v>
      </c>
      <c r="C127" s="240">
        <f>'Plot Support'!E12</f>
        <v>0</v>
      </c>
      <c r="D127" s="240">
        <f>'Plot Support'!F12</f>
        <v>0</v>
      </c>
      <c r="E127" s="240">
        <f>'Plot Support'!G12</f>
        <v>0</v>
      </c>
      <c r="F127" s="240">
        <f>'Plot Support'!I12</f>
        <v>0</v>
      </c>
      <c r="G127" s="240">
        <f>'Plot Support'!J12</f>
        <v>0</v>
      </c>
      <c r="H127" s="240">
        <f>'Plot Support'!K12</f>
        <v>0</v>
      </c>
      <c r="I127" s="240">
        <f>'Plot Support'!L12</f>
        <v>0</v>
      </c>
    </row>
    <row r="128" spans="1:9" ht="12.75" customHeight="1" x14ac:dyDescent="0.2">
      <c r="A128" s="240">
        <f>'Plot Support'!B13</f>
        <v>0</v>
      </c>
      <c r="B128" s="240">
        <f>'Plot Support'!D13</f>
        <v>0</v>
      </c>
      <c r="C128" s="240">
        <f>'Plot Support'!E13</f>
        <v>0</v>
      </c>
      <c r="D128" s="240">
        <f>'Plot Support'!F13</f>
        <v>0</v>
      </c>
      <c r="E128" s="240">
        <f>'Plot Support'!G13</f>
        <v>0</v>
      </c>
      <c r="F128" s="240">
        <f>'Plot Support'!I13</f>
        <v>0</v>
      </c>
      <c r="G128" s="240">
        <f>'Plot Support'!J13</f>
        <v>0</v>
      </c>
      <c r="H128" s="240">
        <f>'Plot Support'!K13</f>
        <v>0</v>
      </c>
      <c r="I128" s="240">
        <f>'Plot Support'!L13</f>
        <v>0</v>
      </c>
    </row>
    <row r="129" spans="1:9" ht="12.75" customHeight="1" x14ac:dyDescent="0.2">
      <c r="A129" s="4" t="str">
        <f>'(Compute)'!B285</f>
        <v>Q4 2010</v>
      </c>
      <c r="B129" s="4" t="str">
        <f>'(Compute)'!D285</f>
        <v>Q1 2011</v>
      </c>
      <c r="C129" s="4" t="str">
        <f>'(Compute)'!E285</f>
        <v>Q2 2011</v>
      </c>
      <c r="D129" s="4" t="str">
        <f>'(Compute)'!F285</f>
        <v>Q3 2011</v>
      </c>
      <c r="E129" s="4" t="str">
        <f>'(Compute)'!G285</f>
        <v>Q4 2011</v>
      </c>
      <c r="F129" s="4" t="str">
        <f>'(Compute)'!I285</f>
        <v>Q1 2012</v>
      </c>
      <c r="G129" s="4" t="str">
        <f>'(Compute)'!J285</f>
        <v>Q2 2012</v>
      </c>
      <c r="H129" s="4" t="str">
        <f>'(Compute)'!K285</f>
        <v>Q3 2012</v>
      </c>
      <c r="I129" s="4" t="str">
        <f>'(Compute)'!L285</f>
        <v>Q4 2012</v>
      </c>
    </row>
    <row r="130" spans="1:9" ht="12.75" customHeight="1" x14ac:dyDescent="0.2">
      <c r="A130" s="4">
        <f>'(Compute)'!B282</f>
        <v>40452</v>
      </c>
      <c r="B130" s="4">
        <f>'(Compute)'!D282</f>
        <v>40544</v>
      </c>
      <c r="C130" s="4">
        <f>'(Compute)'!E282</f>
        <v>40634</v>
      </c>
      <c r="D130" s="4">
        <f>'(Compute)'!F282</f>
        <v>40725</v>
      </c>
      <c r="E130" s="4">
        <f>'(Compute)'!G282</f>
        <v>40817</v>
      </c>
      <c r="F130" s="4">
        <f>'(Compute)'!I282</f>
        <v>40909</v>
      </c>
      <c r="G130" s="4">
        <f>'(Compute)'!J282</f>
        <v>41000</v>
      </c>
      <c r="H130" s="4">
        <f>'(Compute)'!K282</f>
        <v>41091</v>
      </c>
      <c r="I130" s="4">
        <f>'(Compute)'!L282</f>
        <v>41183</v>
      </c>
    </row>
    <row r="131" spans="1:9" ht="12.75" customHeight="1" x14ac:dyDescent="0.2">
      <c r="A131" s="240">
        <f>'Plot Support'!B16</f>
        <v>0</v>
      </c>
      <c r="B131" s="240">
        <f>'Plot Support'!D16</f>
        <v>0</v>
      </c>
      <c r="C131" s="240">
        <f>'Plot Support'!E16</f>
        <v>0</v>
      </c>
      <c r="D131" s="240">
        <f>'Plot Support'!F16</f>
        <v>0</v>
      </c>
      <c r="E131" s="240">
        <f>'Plot Support'!G16</f>
        <v>0</v>
      </c>
      <c r="F131" s="240">
        <f>'Plot Support'!I16</f>
        <v>0</v>
      </c>
      <c r="G131" s="240">
        <f>'Plot Support'!J16</f>
        <v>0</v>
      </c>
      <c r="H131" s="240">
        <f>'Plot Support'!K16</f>
        <v>0</v>
      </c>
      <c r="I131" s="240">
        <f>'Plot Support'!L16</f>
        <v>0</v>
      </c>
    </row>
    <row r="132" spans="1:9" ht="12.75" customHeight="1" x14ac:dyDescent="0.2">
      <c r="A132" s="240">
        <f>'Plot Support'!B17</f>
        <v>0</v>
      </c>
      <c r="B132" s="240">
        <f>'Plot Support'!D17</f>
        <v>0</v>
      </c>
      <c r="C132" s="240">
        <f>'Plot Support'!E17</f>
        <v>0</v>
      </c>
      <c r="D132" s="240">
        <f>'Plot Support'!F17</f>
        <v>0</v>
      </c>
      <c r="E132" s="240">
        <f>'Plot Support'!G17</f>
        <v>0</v>
      </c>
      <c r="F132" s="240">
        <f>'Plot Support'!I17</f>
        <v>0</v>
      </c>
      <c r="G132" s="240">
        <f>'Plot Support'!J17</f>
        <v>0</v>
      </c>
      <c r="H132" s="240">
        <f>'Plot Support'!K17</f>
        <v>0</v>
      </c>
      <c r="I132" s="240">
        <f>'Plot Support'!L17</f>
        <v>0</v>
      </c>
    </row>
    <row r="133" spans="1:9" ht="12.75" customHeight="1" x14ac:dyDescent="0.2">
      <c r="A133" s="240">
        <f>'Plot Support'!B18</f>
        <v>0</v>
      </c>
      <c r="B133" s="240">
        <f>'Plot Support'!D18</f>
        <v>0</v>
      </c>
      <c r="C133" s="240">
        <f>'Plot Support'!E18</f>
        <v>0</v>
      </c>
      <c r="D133" s="240">
        <f>'Plot Support'!F18</f>
        <v>0</v>
      </c>
      <c r="E133" s="240">
        <f>'Plot Support'!G18</f>
        <v>0</v>
      </c>
      <c r="F133" s="240">
        <f>'Plot Support'!I18</f>
        <v>0</v>
      </c>
      <c r="G133" s="240">
        <f>'Plot Support'!J18</f>
        <v>0</v>
      </c>
      <c r="H133" s="240">
        <f>'Plot Support'!K18</f>
        <v>0</v>
      </c>
      <c r="I133" s="240">
        <f>'Plot Support'!L18</f>
        <v>0</v>
      </c>
    </row>
    <row r="134" spans="1:9" ht="12.75" customHeight="1" x14ac:dyDescent="0.2">
      <c r="A134" s="4" t="str">
        <f>'(Compute)'!B291</f>
        <v>Q4 2010</v>
      </c>
      <c r="B134" s="4" t="str">
        <f>'(Compute)'!D291</f>
        <v>Q1 2011</v>
      </c>
      <c r="C134" s="4" t="str">
        <f>'(Compute)'!E291</f>
        <v>Q2 2011</v>
      </c>
      <c r="D134" s="4" t="str">
        <f>'(Compute)'!F291</f>
        <v>Q3 2011</v>
      </c>
      <c r="E134" s="4" t="str">
        <f>'(Compute)'!G291</f>
        <v>Q4 2011</v>
      </c>
      <c r="F134" s="4" t="str">
        <f>'(Compute)'!I291</f>
        <v>Q1 2012</v>
      </c>
      <c r="G134" s="4" t="str">
        <f>'(Compute)'!J291</f>
        <v>Q2 2012</v>
      </c>
      <c r="H134" s="4" t="str">
        <f>'(Compute)'!K291</f>
        <v>Q3 2012</v>
      </c>
      <c r="I134" s="4" t="str">
        <f>'(Compute)'!L291</f>
        <v>Q4 2012</v>
      </c>
    </row>
    <row r="135" spans="1:9" ht="12.75" customHeight="1" x14ac:dyDescent="0.2">
      <c r="A135" s="4">
        <f>'(Compute)'!B288</f>
        <v>40452</v>
      </c>
      <c r="B135" s="4">
        <f>'(Compute)'!D288</f>
        <v>40544</v>
      </c>
      <c r="C135" s="4">
        <f>'(Compute)'!E288</f>
        <v>40634</v>
      </c>
      <c r="D135" s="4">
        <f>'(Compute)'!F288</f>
        <v>40725</v>
      </c>
      <c r="E135" s="4">
        <f>'(Compute)'!G288</f>
        <v>40817</v>
      </c>
      <c r="F135" s="4">
        <f>'(Compute)'!I288</f>
        <v>40909</v>
      </c>
      <c r="G135" s="4">
        <f>'(Compute)'!J288</f>
        <v>41000</v>
      </c>
      <c r="H135" s="4">
        <f>'(Compute)'!K288</f>
        <v>41091</v>
      </c>
      <c r="I135" s="4">
        <f>'(Compute)'!L288</f>
        <v>41183</v>
      </c>
    </row>
    <row r="136" spans="1:9" ht="12.75" customHeight="1" x14ac:dyDescent="0.2">
      <c r="A136" s="240">
        <f>'Plot Support'!B21</f>
        <v>0</v>
      </c>
      <c r="B136" s="240">
        <f>'Plot Support'!D21</f>
        <v>0</v>
      </c>
      <c r="C136" s="240">
        <f>'Plot Support'!E21</f>
        <v>0</v>
      </c>
      <c r="D136" s="240">
        <f>'Plot Support'!F21</f>
        <v>0</v>
      </c>
      <c r="E136" s="240">
        <f>'Plot Support'!G21</f>
        <v>0</v>
      </c>
      <c r="F136" s="240">
        <f>'Plot Support'!I21</f>
        <v>0</v>
      </c>
      <c r="G136" s="240">
        <f>'Plot Support'!J21</f>
        <v>0</v>
      </c>
      <c r="H136" s="240">
        <f>'Plot Support'!K21</f>
        <v>0</v>
      </c>
      <c r="I136" s="240">
        <f>'Plot Support'!L21</f>
        <v>0</v>
      </c>
    </row>
    <row r="137" spans="1:9" ht="12.75" customHeight="1" x14ac:dyDescent="0.2">
      <c r="A137" s="240">
        <f>'Plot Support'!B22</f>
        <v>0</v>
      </c>
      <c r="B137" s="240">
        <f>'Plot Support'!D22</f>
        <v>0</v>
      </c>
      <c r="C137" s="240">
        <f>'Plot Support'!E22</f>
        <v>0</v>
      </c>
      <c r="D137" s="240">
        <f>'Plot Support'!F22</f>
        <v>0</v>
      </c>
      <c r="E137" s="240">
        <f>'Plot Support'!G22</f>
        <v>0</v>
      </c>
      <c r="F137" s="240">
        <f>'Plot Support'!I22</f>
        <v>0</v>
      </c>
      <c r="G137" s="240">
        <f>'Plot Support'!J22</f>
        <v>0</v>
      </c>
      <c r="H137" s="240">
        <f>'Plot Support'!K22</f>
        <v>0</v>
      </c>
      <c r="I137" s="240">
        <f>'Plot Support'!L22</f>
        <v>0</v>
      </c>
    </row>
    <row r="138" spans="1:9" ht="12.75" customHeight="1" x14ac:dyDescent="0.2">
      <c r="A138" s="240">
        <f>'Plot Support'!B23</f>
        <v>0</v>
      </c>
      <c r="B138" s="240">
        <f>'Plot Support'!D23</f>
        <v>0</v>
      </c>
      <c r="C138" s="240">
        <f>'Plot Support'!E23</f>
        <v>0</v>
      </c>
      <c r="D138" s="240">
        <f>'Plot Support'!F23</f>
        <v>0</v>
      </c>
      <c r="E138" s="240">
        <f>'Plot Support'!G23</f>
        <v>0</v>
      </c>
      <c r="F138" s="240">
        <f>'Plot Support'!I23</f>
        <v>0</v>
      </c>
      <c r="G138" s="240">
        <f>'Plot Support'!J23</f>
        <v>0</v>
      </c>
      <c r="H138" s="240">
        <f>'Plot Support'!K23</f>
        <v>0</v>
      </c>
      <c r="I138" s="240">
        <f>'Plot Support'!L23</f>
        <v>0</v>
      </c>
    </row>
    <row r="139" spans="1:9" ht="12.75" customHeight="1" x14ac:dyDescent="0.2">
      <c r="A139" s="4" t="str">
        <f>'(Compute)'!B297</f>
        <v>Q4 2010</v>
      </c>
      <c r="B139" s="4" t="str">
        <f>'(Compute)'!D297</f>
        <v>Q1 2011</v>
      </c>
      <c r="C139" s="4" t="str">
        <f>'(Compute)'!E297</f>
        <v>Q2 2011</v>
      </c>
      <c r="D139" s="4" t="str">
        <f>'(Compute)'!F297</f>
        <v>Q3 2011</v>
      </c>
      <c r="E139" s="4" t="str">
        <f>'(Compute)'!G297</f>
        <v>Q4 2011</v>
      </c>
      <c r="F139" s="4" t="str">
        <f>'(Compute)'!I297</f>
        <v>Q1 2012</v>
      </c>
      <c r="G139" s="4" t="str">
        <f>'(Compute)'!J297</f>
        <v>Q2 2012</v>
      </c>
      <c r="H139" s="4" t="str">
        <f>'(Compute)'!K297</f>
        <v>Q3 2012</v>
      </c>
      <c r="I139" s="4" t="str">
        <f>'(Compute)'!L297</f>
        <v>Q4 2012</v>
      </c>
    </row>
    <row r="140" spans="1:9" ht="12.75" customHeight="1" x14ac:dyDescent="0.2">
      <c r="A140" s="4">
        <f>'(Compute)'!B294</f>
        <v>40452</v>
      </c>
      <c r="B140" s="4">
        <f>'(Compute)'!D294</f>
        <v>40544</v>
      </c>
      <c r="C140" s="4">
        <f>'(Compute)'!E294</f>
        <v>40634</v>
      </c>
      <c r="D140" s="4">
        <f>'(Compute)'!F294</f>
        <v>40725</v>
      </c>
      <c r="E140" s="4">
        <f>'(Compute)'!G294</f>
        <v>40817</v>
      </c>
      <c r="F140" s="4">
        <f>'(Compute)'!I294</f>
        <v>40909</v>
      </c>
      <c r="G140" s="4">
        <f>'(Compute)'!J294</f>
        <v>41000</v>
      </c>
      <c r="H140" s="4">
        <f>'(Compute)'!K294</f>
        <v>41091</v>
      </c>
      <c r="I140" s="4">
        <f>'(Compute)'!L294</f>
        <v>41183</v>
      </c>
    </row>
    <row r="141" spans="1:9" ht="12.75" customHeight="1" x14ac:dyDescent="0.2">
      <c r="A141" s="239">
        <f>'(Tables)'!B287</f>
        <v>0</v>
      </c>
      <c r="B141" s="239">
        <f>'(Tables)'!D287</f>
        <v>0</v>
      </c>
      <c r="C141" s="239">
        <f>'(Tables)'!E287</f>
        <v>0</v>
      </c>
      <c r="D141" s="239">
        <f>'(Tables)'!F287</f>
        <v>0</v>
      </c>
      <c r="E141" s="239">
        <f>'(Tables)'!G287</f>
        <v>0</v>
      </c>
      <c r="F141" s="239">
        <f>'(Tables)'!I287</f>
        <v>0</v>
      </c>
      <c r="G141" s="239">
        <f>'(Tables)'!J287</f>
        <v>0</v>
      </c>
      <c r="H141" s="239">
        <f>'(Tables)'!K287</f>
        <v>0</v>
      </c>
      <c r="I141" s="239">
        <f>'(Tables)'!L287</f>
        <v>0</v>
      </c>
    </row>
    <row r="142" spans="1:9" ht="12.75" customHeight="1" x14ac:dyDescent="0.2">
      <c r="A142" s="239">
        <f>'(Tables)'!B288</f>
        <v>0</v>
      </c>
      <c r="B142" s="239">
        <f>'(Tables)'!D288</f>
        <v>0</v>
      </c>
      <c r="C142" s="239">
        <f>'(Tables)'!E288</f>
        <v>0</v>
      </c>
      <c r="D142" s="239">
        <f>'(Tables)'!F288</f>
        <v>0</v>
      </c>
      <c r="E142" s="239">
        <f>'(Tables)'!G288</f>
        <v>0</v>
      </c>
      <c r="F142" s="239">
        <f>'(Tables)'!I288</f>
        <v>0</v>
      </c>
      <c r="G142" s="239">
        <f>'(Tables)'!J288</f>
        <v>0</v>
      </c>
      <c r="H142" s="239">
        <f>'(Tables)'!K288</f>
        <v>0</v>
      </c>
      <c r="I142" s="239">
        <f>'(Tables)'!L288</f>
        <v>0</v>
      </c>
    </row>
    <row r="143" spans="1:9" ht="12.75" customHeight="1" x14ac:dyDescent="0.2">
      <c r="A143" s="239">
        <f>'(Tables)'!B289</f>
        <v>0</v>
      </c>
      <c r="B143" s="239">
        <f>'(Tables)'!D289</f>
        <v>0</v>
      </c>
      <c r="C143" s="239">
        <f>'(Tables)'!E289</f>
        <v>0</v>
      </c>
      <c r="D143" s="239">
        <f>'(Tables)'!F289</f>
        <v>0</v>
      </c>
      <c r="E143" s="239">
        <f>'(Tables)'!G289</f>
        <v>0</v>
      </c>
      <c r="F143" s="239">
        <f>'(Tables)'!I289</f>
        <v>0</v>
      </c>
      <c r="G143" s="239">
        <f>'(Tables)'!J289</f>
        <v>0</v>
      </c>
      <c r="H143" s="239">
        <f>'(Tables)'!K289</f>
        <v>0</v>
      </c>
      <c r="I143" s="239">
        <f>'(Tables)'!L289</f>
        <v>0</v>
      </c>
    </row>
    <row r="144" spans="1:9" ht="12.75" customHeight="1" x14ac:dyDescent="0.2">
      <c r="A144" s="4" t="str">
        <f>'(Compute)'!B303</f>
        <v>Q4 2010</v>
      </c>
      <c r="B144" s="4" t="str">
        <f>'(Compute)'!D303</f>
        <v>Q1 2011</v>
      </c>
      <c r="C144" s="4" t="str">
        <f>'(Compute)'!E303</f>
        <v>Q2 2011</v>
      </c>
      <c r="D144" s="4" t="str">
        <f>'(Compute)'!F303</f>
        <v>Q3 2011</v>
      </c>
      <c r="E144" s="4" t="str">
        <f>'(Compute)'!G303</f>
        <v>Q4 2011</v>
      </c>
      <c r="F144" s="4" t="str">
        <f>'(Compute)'!I303</f>
        <v>Q1 2012</v>
      </c>
      <c r="G144" s="4" t="str">
        <f>'(Compute)'!J303</f>
        <v>Q2 2012</v>
      </c>
      <c r="H144" s="4" t="str">
        <f>'(Compute)'!K303</f>
        <v>Q3 2012</v>
      </c>
      <c r="I144" s="4" t="str">
        <f>'(Compute)'!L303</f>
        <v>Q4 2012</v>
      </c>
    </row>
    <row r="145" spans="1:9" ht="12.75" customHeight="1" x14ac:dyDescent="0.2">
      <c r="A145" s="4">
        <f>'(Compute)'!B300</f>
        <v>40452</v>
      </c>
      <c r="B145" s="4">
        <f>'(Compute)'!D300</f>
        <v>40544</v>
      </c>
      <c r="C145" s="4">
        <f>'(Compute)'!E300</f>
        <v>40634</v>
      </c>
      <c r="D145" s="4">
        <f>'(Compute)'!F300</f>
        <v>40725</v>
      </c>
      <c r="E145" s="4">
        <f>'(Compute)'!G300</f>
        <v>40817</v>
      </c>
      <c r="F145" s="4">
        <f>'(Compute)'!I300</f>
        <v>40909</v>
      </c>
      <c r="G145" s="4">
        <f>'(Compute)'!J300</f>
        <v>41000</v>
      </c>
      <c r="H145" s="4">
        <f>'(Compute)'!K300</f>
        <v>41091</v>
      </c>
      <c r="I145" s="4">
        <f>'(Compute)'!L300</f>
        <v>41183</v>
      </c>
    </row>
    <row r="146" spans="1:9" ht="12.75" customHeight="1" x14ac:dyDescent="0.2">
      <c r="A146" s="240">
        <f>'Plot Support'!D26</f>
        <v>0</v>
      </c>
      <c r="B146" s="240">
        <f>'Plot Support'!E26</f>
        <v>0</v>
      </c>
      <c r="C146" s="240">
        <f>'Plot Support'!F26</f>
        <v>0</v>
      </c>
      <c r="D146" s="240">
        <f>'Plot Support'!G26</f>
        <v>0</v>
      </c>
      <c r="E146" s="240">
        <f>'Plot Support'!I26</f>
        <v>0</v>
      </c>
      <c r="F146" s="240">
        <f>'Plot Support'!J26</f>
        <v>0</v>
      </c>
      <c r="G146" s="240">
        <f>'Plot Support'!K26</f>
        <v>0</v>
      </c>
      <c r="H146" s="240">
        <f>'Plot Support'!L26</f>
        <v>0</v>
      </c>
    </row>
    <row r="147" spans="1:9" ht="12.75" customHeight="1" x14ac:dyDescent="0.2">
      <c r="A147" s="240">
        <f>'Plot Support'!D27</f>
        <v>0</v>
      </c>
      <c r="B147" s="240">
        <f>'Plot Support'!E27</f>
        <v>0</v>
      </c>
      <c r="C147" s="240">
        <f>'Plot Support'!F27</f>
        <v>0</v>
      </c>
      <c r="D147" s="240">
        <f>'Plot Support'!G27</f>
        <v>0</v>
      </c>
      <c r="E147" s="240">
        <f>'Plot Support'!I27</f>
        <v>0</v>
      </c>
      <c r="F147" s="240">
        <f>'Plot Support'!J27</f>
        <v>0</v>
      </c>
      <c r="G147" s="240">
        <f>'Plot Support'!K27</f>
        <v>0</v>
      </c>
      <c r="H147" s="240">
        <f>'Plot Support'!L27</f>
        <v>0</v>
      </c>
    </row>
    <row r="148" spans="1:9" ht="12.75" customHeight="1" x14ac:dyDescent="0.2">
      <c r="A148" s="240">
        <f>'Plot Support'!D28</f>
        <v>0</v>
      </c>
      <c r="B148" s="240">
        <f>'Plot Support'!E28</f>
        <v>0</v>
      </c>
      <c r="C148" s="240">
        <f>'Plot Support'!F28</f>
        <v>0</v>
      </c>
      <c r="D148" s="240">
        <f>'Plot Support'!G28</f>
        <v>0</v>
      </c>
      <c r="E148" s="240">
        <f>'Plot Support'!I28</f>
        <v>0</v>
      </c>
      <c r="F148" s="240">
        <f>'Plot Support'!J28</f>
        <v>0</v>
      </c>
      <c r="G148" s="240">
        <f>'Plot Support'!K28</f>
        <v>0</v>
      </c>
      <c r="H148" s="240">
        <f>'Plot Support'!L28</f>
        <v>0</v>
      </c>
    </row>
    <row r="149" spans="1:9" ht="12.75" customHeight="1" x14ac:dyDescent="0.2">
      <c r="A149" s="4" t="str">
        <f>'(Compute)'!B309</f>
        <v>Q1 2011</v>
      </c>
      <c r="B149" s="4" t="str">
        <f>'(Compute)'!C309</f>
        <v>Q2 2011</v>
      </c>
      <c r="C149" s="4" t="str">
        <f>'(Compute)'!D309</f>
        <v>Q3 2011</v>
      </c>
      <c r="D149" s="4" t="str">
        <f>'(Compute)'!E309</f>
        <v>Q4 2011</v>
      </c>
      <c r="E149" s="4" t="str">
        <f>'(Compute)'!G309</f>
        <v>Q1 2012</v>
      </c>
      <c r="F149" s="4" t="str">
        <f>'(Compute)'!H309</f>
        <v>Q2 2012</v>
      </c>
      <c r="G149" s="4" t="str">
        <f>'(Compute)'!I309</f>
        <v>Q3 2012</v>
      </c>
      <c r="H149" s="4" t="str">
        <f>'(Compute)'!J309</f>
        <v>Q4 2012</v>
      </c>
    </row>
    <row r="150" spans="1:9" ht="12.75" customHeight="1" x14ac:dyDescent="0.2">
      <c r="A150" s="4">
        <f>'(Compute)'!B306</f>
        <v>40544</v>
      </c>
      <c r="B150" s="4">
        <f>'(Compute)'!C306</f>
        <v>40634</v>
      </c>
      <c r="C150" s="4">
        <f>'(Compute)'!D306</f>
        <v>40725</v>
      </c>
      <c r="D150" s="4">
        <f>'(Compute)'!E306</f>
        <v>40817</v>
      </c>
      <c r="E150" s="4">
        <f>'(Compute)'!G306</f>
        <v>40909</v>
      </c>
      <c r="F150" s="4">
        <f>'(Compute)'!H306</f>
        <v>41000</v>
      </c>
      <c r="G150" s="4">
        <f>'(Compute)'!I306</f>
        <v>41091</v>
      </c>
      <c r="H150" s="4">
        <f>'(Compute)'!J306</f>
        <v>41183</v>
      </c>
    </row>
    <row r="151" spans="1:9" ht="12.75" customHeight="1" x14ac:dyDescent="0.2">
      <c r="A151" s="240">
        <f>'Plot Support'!D31</f>
        <v>0</v>
      </c>
      <c r="B151" s="240">
        <f>'Plot Support'!E31</f>
        <v>0</v>
      </c>
      <c r="C151" s="240">
        <f>'Plot Support'!F31</f>
        <v>0</v>
      </c>
      <c r="D151" s="240">
        <f>'Plot Support'!G31</f>
        <v>0</v>
      </c>
      <c r="E151" s="240">
        <f>'Plot Support'!I31</f>
        <v>0</v>
      </c>
      <c r="F151" s="240">
        <f>'Plot Support'!J31</f>
        <v>0</v>
      </c>
      <c r="G151" s="240">
        <f>'Plot Support'!K31</f>
        <v>0</v>
      </c>
      <c r="H151" s="240">
        <f>'Plot Support'!L31</f>
        <v>0</v>
      </c>
    </row>
    <row r="152" spans="1:9" ht="12.75" customHeight="1" x14ac:dyDescent="0.2">
      <c r="A152" s="240">
        <f>'Plot Support'!D32</f>
        <v>0</v>
      </c>
      <c r="B152" s="240">
        <f>'Plot Support'!E32</f>
        <v>0</v>
      </c>
      <c r="C152" s="240">
        <f>'Plot Support'!F32</f>
        <v>0</v>
      </c>
      <c r="D152" s="240">
        <f>'Plot Support'!G32</f>
        <v>0</v>
      </c>
      <c r="E152" s="240">
        <f>'Plot Support'!I32</f>
        <v>0</v>
      </c>
      <c r="F152" s="240">
        <f>'Plot Support'!J32</f>
        <v>0</v>
      </c>
      <c r="G152" s="240">
        <f>'Plot Support'!K32</f>
        <v>0</v>
      </c>
      <c r="H152" s="240">
        <f>'Plot Support'!L32</f>
        <v>0</v>
      </c>
    </row>
    <row r="153" spans="1:9" ht="12.75" customHeight="1" x14ac:dyDescent="0.2">
      <c r="A153" s="240">
        <f>'Plot Support'!D33</f>
        <v>0</v>
      </c>
      <c r="B153" s="240">
        <f>'Plot Support'!E33</f>
        <v>0</v>
      </c>
      <c r="C153" s="240">
        <f>'Plot Support'!F33</f>
        <v>0</v>
      </c>
      <c r="D153" s="240">
        <f>'Plot Support'!G33</f>
        <v>0</v>
      </c>
      <c r="E153" s="240">
        <f>'Plot Support'!I33</f>
        <v>0</v>
      </c>
      <c r="F153" s="240">
        <f>'Plot Support'!J33</f>
        <v>0</v>
      </c>
      <c r="G153" s="240">
        <f>'Plot Support'!K33</f>
        <v>0</v>
      </c>
      <c r="H153" s="240">
        <f>'Plot Support'!L33</f>
        <v>0</v>
      </c>
    </row>
    <row r="154" spans="1:9" ht="12.75" customHeight="1" x14ac:dyDescent="0.2">
      <c r="A154" s="4" t="str">
        <f>'(Compute)'!B315</f>
        <v>Q1 2011</v>
      </c>
      <c r="B154" s="4" t="str">
        <f>'(Compute)'!C315</f>
        <v>Q2 2011</v>
      </c>
      <c r="C154" s="4" t="str">
        <f>'(Compute)'!D315</f>
        <v>Q3 2011</v>
      </c>
      <c r="D154" s="4" t="str">
        <f>'(Compute)'!E315</f>
        <v>Q4 2011</v>
      </c>
      <c r="E154" s="4" t="str">
        <f>'(Compute)'!G315</f>
        <v>Q1 2012</v>
      </c>
      <c r="F154" s="4" t="str">
        <f>'(Compute)'!H315</f>
        <v>Q2 2012</v>
      </c>
      <c r="G154" s="4" t="str">
        <f>'(Compute)'!I315</f>
        <v>Q3 2012</v>
      </c>
      <c r="H154" s="4" t="str">
        <f>'(Compute)'!J315</f>
        <v>Q4 2012</v>
      </c>
    </row>
    <row r="155" spans="1:9" ht="12.75" customHeight="1" x14ac:dyDescent="0.2">
      <c r="A155" s="4">
        <f>'(Compute)'!B312</f>
        <v>40544</v>
      </c>
      <c r="B155" s="4">
        <f>'(Compute)'!C312</f>
        <v>40634</v>
      </c>
      <c r="C155" s="4">
        <f>'(Compute)'!D312</f>
        <v>40725</v>
      </c>
      <c r="D155" s="4">
        <f>'(Compute)'!E312</f>
        <v>40817</v>
      </c>
      <c r="E155" s="4">
        <f>'(Compute)'!G312</f>
        <v>40909</v>
      </c>
      <c r="F155" s="4">
        <f>'(Compute)'!H312</f>
        <v>41000</v>
      </c>
      <c r="G155" s="4">
        <f>'(Compute)'!I312</f>
        <v>41091</v>
      </c>
      <c r="H155" s="4">
        <f>'(Compute)'!J312</f>
        <v>41183</v>
      </c>
    </row>
    <row r="156" spans="1:9" ht="12.75" customHeight="1" x14ac:dyDescent="0.2">
      <c r="A156" s="240">
        <f>'Plot Support'!B36</f>
        <v>0</v>
      </c>
      <c r="B156" s="240">
        <f>'Plot Support'!D36</f>
        <v>0</v>
      </c>
      <c r="C156" s="240">
        <f>'Plot Support'!E36</f>
        <v>0</v>
      </c>
      <c r="D156" s="240">
        <f>'Plot Support'!F36</f>
        <v>0</v>
      </c>
      <c r="E156" s="240">
        <f>'Plot Support'!G36</f>
        <v>0</v>
      </c>
      <c r="F156" s="240">
        <f>'Plot Support'!I36</f>
        <v>0</v>
      </c>
      <c r="G156" s="240">
        <f>'Plot Support'!J36</f>
        <v>0</v>
      </c>
      <c r="H156" s="240">
        <f>'Plot Support'!K36</f>
        <v>0</v>
      </c>
      <c r="I156" s="240">
        <f>'Plot Support'!L36</f>
        <v>0</v>
      </c>
    </row>
    <row r="157" spans="1:9" ht="12.75" customHeight="1" x14ac:dyDescent="0.2">
      <c r="A157" s="240">
        <f>'Plot Support'!B37</f>
        <v>0</v>
      </c>
      <c r="B157" s="240">
        <f>'Plot Support'!D37</f>
        <v>0</v>
      </c>
      <c r="C157" s="240">
        <f>'Plot Support'!E37</f>
        <v>0</v>
      </c>
      <c r="D157" s="240">
        <f>'Plot Support'!F37</f>
        <v>0</v>
      </c>
      <c r="E157" s="240">
        <f>'Plot Support'!G37</f>
        <v>0</v>
      </c>
      <c r="F157" s="240">
        <f>'Plot Support'!I37</f>
        <v>0</v>
      </c>
      <c r="G157" s="240">
        <f>'Plot Support'!J37</f>
        <v>0</v>
      </c>
      <c r="H157" s="240">
        <f>'Plot Support'!K37</f>
        <v>0</v>
      </c>
      <c r="I157" s="240">
        <f>'Plot Support'!L37</f>
        <v>0</v>
      </c>
    </row>
    <row r="158" spans="1:9" ht="12.75" customHeight="1" x14ac:dyDescent="0.2">
      <c r="A158" s="240">
        <f>'Plot Support'!B38</f>
        <v>0</v>
      </c>
      <c r="B158" s="240">
        <f>'Plot Support'!D38</f>
        <v>0</v>
      </c>
      <c r="C158" s="240">
        <f>'Plot Support'!E38</f>
        <v>0</v>
      </c>
      <c r="D158" s="240">
        <f>'Plot Support'!F38</f>
        <v>0</v>
      </c>
      <c r="E158" s="240">
        <f>'Plot Support'!G38</f>
        <v>0</v>
      </c>
      <c r="F158" s="240">
        <f>'Plot Support'!I38</f>
        <v>0</v>
      </c>
      <c r="G158" s="240">
        <f>'Plot Support'!J38</f>
        <v>0</v>
      </c>
      <c r="H158" s="240">
        <f>'Plot Support'!K38</f>
        <v>0</v>
      </c>
      <c r="I158" s="240">
        <f>'Plot Support'!L38</f>
        <v>0</v>
      </c>
    </row>
    <row r="159" spans="1:9" ht="12.75" customHeight="1" x14ac:dyDescent="0.2">
      <c r="A159" s="4" t="str">
        <f>'(Compute)'!B321</f>
        <v>Q4 2010</v>
      </c>
      <c r="B159" s="4" t="str">
        <f>'(Compute)'!D321</f>
        <v>Q1 2011</v>
      </c>
      <c r="C159" s="4" t="str">
        <f>'(Compute)'!E321</f>
        <v>Q2 2011</v>
      </c>
      <c r="D159" s="4" t="str">
        <f>'(Compute)'!F321</f>
        <v>Q3 2011</v>
      </c>
      <c r="E159" s="4" t="str">
        <f>'(Compute)'!G321</f>
        <v>Q4 2011</v>
      </c>
      <c r="F159" s="4" t="str">
        <f>'(Compute)'!I321</f>
        <v>Q1 2012</v>
      </c>
      <c r="G159" s="4" t="str">
        <f>'(Compute)'!J321</f>
        <v>Q2 2012</v>
      </c>
      <c r="H159" s="4" t="str">
        <f>'(Compute)'!K321</f>
        <v>Q3 2012</v>
      </c>
      <c r="I159" s="4" t="str">
        <f>'(Compute)'!L321</f>
        <v>Q4 2012</v>
      </c>
    </row>
    <row r="160" spans="1:9" ht="12.75" customHeight="1" x14ac:dyDescent="0.2">
      <c r="A160" s="4">
        <f>'(Compute)'!B318</f>
        <v>40452</v>
      </c>
      <c r="B160" s="4">
        <f>'(Compute)'!D318</f>
        <v>40544</v>
      </c>
      <c r="C160" s="4">
        <f>'(Compute)'!E318</f>
        <v>40634</v>
      </c>
      <c r="D160" s="4">
        <f>'(Compute)'!F318</f>
        <v>40725</v>
      </c>
      <c r="E160" s="4">
        <f>'(Compute)'!G318</f>
        <v>40817</v>
      </c>
      <c r="F160" s="4">
        <f>'(Compute)'!I318</f>
        <v>40909</v>
      </c>
      <c r="G160" s="4">
        <f>'(Compute)'!J318</f>
        <v>41000</v>
      </c>
      <c r="H160" s="4">
        <f>'(Compute)'!K318</f>
        <v>41091</v>
      </c>
      <c r="I160" s="4">
        <f>'(Compute)'!L318</f>
        <v>41183</v>
      </c>
    </row>
    <row r="162" spans="1:1" ht="12.75" customHeight="1" x14ac:dyDescent="0.2">
      <c r="A162" s="241" t="s">
        <v>229</v>
      </c>
    </row>
    <row r="163" spans="1:1" ht="12.75" customHeight="1" x14ac:dyDescent="0.2">
      <c r="A163" s="241" t="s">
        <v>980</v>
      </c>
    </row>
    <row r="164" spans="1:1" ht="12.75" customHeight="1" x14ac:dyDescent="0.2">
      <c r="A164" s="241" t="s">
        <v>1207</v>
      </c>
    </row>
    <row r="165" spans="1:1" ht="12.75" customHeight="1" x14ac:dyDescent="0.2">
      <c r="A165" s="241" t="s">
        <v>461</v>
      </c>
    </row>
    <row r="166" spans="1:1" ht="12.75" customHeight="1" x14ac:dyDescent="0.2">
      <c r="A166" s="241" t="s">
        <v>895</v>
      </c>
    </row>
    <row r="167" spans="1:1" ht="12.75" customHeight="1" x14ac:dyDescent="0.2">
      <c r="A167" s="241" t="s">
        <v>810</v>
      </c>
    </row>
    <row r="168" spans="1:1" ht="12.75" customHeight="1" x14ac:dyDescent="0.2">
      <c r="A168" s="241" t="s">
        <v>560</v>
      </c>
    </row>
    <row r="169" spans="1:1" ht="12.75" customHeight="1" x14ac:dyDescent="0.2">
      <c r="A169" s="241" t="s">
        <v>678</v>
      </c>
    </row>
    <row r="170" spans="1:1" ht="12.75" customHeight="1" x14ac:dyDescent="0.2">
      <c r="A170" s="241" t="s">
        <v>1187</v>
      </c>
    </row>
    <row r="171" spans="1:1" ht="12.75" customHeight="1" x14ac:dyDescent="0.2">
      <c r="A171" s="241" t="s">
        <v>642</v>
      </c>
    </row>
    <row r="172" spans="1:1" ht="12.75" customHeight="1" x14ac:dyDescent="0.2">
      <c r="A172" s="241" t="s">
        <v>606</v>
      </c>
    </row>
    <row r="173" spans="1:1" ht="12.75" customHeight="1" x14ac:dyDescent="0.2">
      <c r="A173" s="241" t="s">
        <v>225</v>
      </c>
    </row>
    <row r="174" spans="1:1" ht="12.75" customHeight="1" x14ac:dyDescent="0.2">
      <c r="A174" s="241" t="s">
        <v>602</v>
      </c>
    </row>
    <row r="175" spans="1:1" ht="12.75" customHeight="1" x14ac:dyDescent="0.2">
      <c r="A175" s="241" t="s">
        <v>1537</v>
      </c>
    </row>
    <row r="176" spans="1:1" ht="12.75" customHeight="1" x14ac:dyDescent="0.2">
      <c r="A176" s="241" t="s">
        <v>43</v>
      </c>
    </row>
    <row r="177" spans="1:1" ht="12.75" customHeight="1" x14ac:dyDescent="0.2">
      <c r="A177" s="241" t="s">
        <v>1415</v>
      </c>
    </row>
    <row r="178" spans="1:1" ht="12.75" customHeight="1" x14ac:dyDescent="0.2">
      <c r="A178" s="241" t="s">
        <v>1487</v>
      </c>
    </row>
    <row r="179" spans="1:1" ht="12.75" customHeight="1" x14ac:dyDescent="0.2">
      <c r="A179" s="241" t="s">
        <v>894</v>
      </c>
    </row>
    <row r="180" spans="1:1" ht="12.75" customHeight="1" x14ac:dyDescent="0.2">
      <c r="A180" s="241" t="s">
        <v>1470</v>
      </c>
    </row>
    <row r="181" spans="1:1" ht="12.75" customHeight="1" x14ac:dyDescent="0.2">
      <c r="A181" s="241" t="s">
        <v>899</v>
      </c>
    </row>
    <row r="182" spans="1:1" ht="12.75" customHeight="1" x14ac:dyDescent="0.2">
      <c r="A182" s="241" t="s">
        <v>1065</v>
      </c>
    </row>
    <row r="183" spans="1:1" ht="12.75" customHeight="1" x14ac:dyDescent="0.2">
      <c r="A183" s="241" t="s">
        <v>326</v>
      </c>
    </row>
    <row r="184" spans="1:1" ht="12.75" customHeight="1" x14ac:dyDescent="0.2">
      <c r="A184" s="241" t="s">
        <v>1183</v>
      </c>
    </row>
    <row r="185" spans="1:1" ht="12.75" customHeight="1" x14ac:dyDescent="0.2">
      <c r="A185" s="241" t="s">
        <v>746</v>
      </c>
    </row>
    <row r="186" spans="1:1" ht="12.75" customHeight="1" x14ac:dyDescent="0.2">
      <c r="A186" s="241" t="s">
        <v>1157</v>
      </c>
    </row>
    <row r="187" spans="1:1" ht="12.75" customHeight="1" x14ac:dyDescent="0.2">
      <c r="A187" s="241" t="s">
        <v>309</v>
      </c>
    </row>
    <row r="188" spans="1:1" ht="12.75" customHeight="1" x14ac:dyDescent="0.2">
      <c r="A188" s="241" t="s">
        <v>1426</v>
      </c>
    </row>
    <row r="189" spans="1:1" ht="12.75" customHeight="1" x14ac:dyDescent="0.2">
      <c r="A189" s="241" t="s">
        <v>46</v>
      </c>
    </row>
    <row r="190" spans="1:1" ht="12.75" customHeight="1" x14ac:dyDescent="0.2">
      <c r="A190" s="241" t="s">
        <v>155</v>
      </c>
    </row>
    <row r="191" spans="1:1" ht="12.75" customHeight="1" x14ac:dyDescent="0.2">
      <c r="A191" s="241" t="s">
        <v>160</v>
      </c>
    </row>
    <row r="192" spans="1:1" ht="12.75" customHeight="1" x14ac:dyDescent="0.2">
      <c r="A192" s="241" t="s">
        <v>791</v>
      </c>
    </row>
    <row r="193" spans="1:1" ht="12.75" customHeight="1" x14ac:dyDescent="0.2">
      <c r="A193" t="s">
        <v>723</v>
      </c>
    </row>
    <row r="194" spans="1:1" ht="12.75" customHeight="1" x14ac:dyDescent="0.2">
      <c r="A194" t="s">
        <v>1273</v>
      </c>
    </row>
    <row r="195" spans="1:1" ht="12.75" customHeight="1" x14ac:dyDescent="0.2">
      <c r="A195" t="s">
        <v>161</v>
      </c>
    </row>
    <row r="196" spans="1:1" ht="12.75" customHeight="1" x14ac:dyDescent="0.2">
      <c r="A196" t="s">
        <v>412</v>
      </c>
    </row>
    <row r="197" spans="1:1" ht="12.75" customHeight="1" x14ac:dyDescent="0.2">
      <c r="A197" t="s">
        <v>1078</v>
      </c>
    </row>
    <row r="198" spans="1:1" ht="12.75" customHeight="1" x14ac:dyDescent="0.2">
      <c r="A198" t="s">
        <v>179</v>
      </c>
    </row>
    <row r="199" spans="1:1" ht="12.75" customHeight="1" x14ac:dyDescent="0.2">
      <c r="A199" t="s">
        <v>29</v>
      </c>
    </row>
    <row r="200" spans="1:1" ht="12.75" customHeight="1" x14ac:dyDescent="0.2">
      <c r="A200" t="s">
        <v>683</v>
      </c>
    </row>
    <row r="201" spans="1:1" ht="12.75" customHeight="1" x14ac:dyDescent="0.2">
      <c r="A201" t="s">
        <v>1385</v>
      </c>
    </row>
    <row r="202" spans="1:1" ht="12.75" customHeight="1" x14ac:dyDescent="0.2">
      <c r="A202" t="s">
        <v>729</v>
      </c>
    </row>
    <row r="203" spans="1:1" ht="12.75" customHeight="1" x14ac:dyDescent="0.2">
      <c r="A203" t="s">
        <v>1195</v>
      </c>
    </row>
    <row r="204" spans="1:1" ht="12.75" customHeight="1" x14ac:dyDescent="0.2">
      <c r="A204" t="s">
        <v>196</v>
      </c>
    </row>
    <row r="205" spans="1:1" ht="12.75" customHeight="1" x14ac:dyDescent="0.2">
      <c r="A205" t="s">
        <v>727</v>
      </c>
    </row>
    <row r="206" spans="1:1" ht="12.75" customHeight="1" x14ac:dyDescent="0.2">
      <c r="A206" t="s">
        <v>635</v>
      </c>
    </row>
    <row r="207" spans="1:1" ht="12.75" customHeight="1" x14ac:dyDescent="0.2">
      <c r="A207" t="s">
        <v>238</v>
      </c>
    </row>
    <row r="208" spans="1:1" ht="12.75" customHeight="1" x14ac:dyDescent="0.2">
      <c r="A208" t="s">
        <v>347</v>
      </c>
    </row>
    <row r="209" spans="1:1" ht="12.75" customHeight="1" x14ac:dyDescent="0.2">
      <c r="A209" t="s">
        <v>180</v>
      </c>
    </row>
    <row r="210" spans="1:1" ht="12.75" customHeight="1" x14ac:dyDescent="0.2">
      <c r="A210" t="s">
        <v>545</v>
      </c>
    </row>
    <row r="211" spans="1:1" ht="12.75" customHeight="1" x14ac:dyDescent="0.2">
      <c r="A211" t="s">
        <v>1084</v>
      </c>
    </row>
    <row r="212" spans="1:1" ht="12.75" customHeight="1" x14ac:dyDescent="0.2">
      <c r="A212" t="s">
        <v>1190</v>
      </c>
    </row>
    <row r="213" spans="1:1" ht="12.75" customHeight="1" x14ac:dyDescent="0.2">
      <c r="A213" t="s">
        <v>954</v>
      </c>
    </row>
    <row r="214" spans="1:1" ht="12.75" customHeight="1" x14ac:dyDescent="0.2">
      <c r="A214" t="s">
        <v>1445</v>
      </c>
    </row>
    <row r="215" spans="1:1" ht="12.75" customHeight="1" x14ac:dyDescent="0.2">
      <c r="A215" t="s">
        <v>500</v>
      </c>
    </row>
    <row r="216" spans="1:1" ht="12.75" customHeight="1" x14ac:dyDescent="0.2">
      <c r="A216" t="s">
        <v>792</v>
      </c>
    </row>
    <row r="217" spans="1:1" ht="12.75" customHeight="1" x14ac:dyDescent="0.2">
      <c r="A217" t="s">
        <v>1143</v>
      </c>
    </row>
    <row r="218" spans="1:1" ht="12.75" customHeight="1" x14ac:dyDescent="0.2">
      <c r="A218" t="s">
        <v>197</v>
      </c>
    </row>
    <row r="219" spans="1:1" ht="12.75" customHeight="1" x14ac:dyDescent="0.2">
      <c r="A219" t="s">
        <v>785</v>
      </c>
    </row>
    <row r="220" spans="1:1" ht="12.75" customHeight="1" x14ac:dyDescent="0.2">
      <c r="A220" t="s">
        <v>1170</v>
      </c>
    </row>
    <row r="221" spans="1:1" ht="12.75" customHeight="1" x14ac:dyDescent="0.2">
      <c r="A221" t="s">
        <v>569</v>
      </c>
    </row>
    <row r="222" spans="1:1" ht="12.75" customHeight="1" x14ac:dyDescent="0.2">
      <c r="A222" t="s">
        <v>571</v>
      </c>
    </row>
    <row r="223" spans="1:1" ht="12.75" customHeight="1" x14ac:dyDescent="0.2">
      <c r="A223" t="s">
        <v>1094</v>
      </c>
    </row>
    <row r="224" spans="1:1" ht="12.75" customHeight="1" x14ac:dyDescent="0.2">
      <c r="A224" t="s">
        <v>981</v>
      </c>
    </row>
    <row r="225" spans="1:1" ht="12.75" customHeight="1" x14ac:dyDescent="0.2">
      <c r="A225" t="s">
        <v>442</v>
      </c>
    </row>
    <row r="226" spans="1:1" ht="12.75" customHeight="1" x14ac:dyDescent="0.2">
      <c r="A226" t="s">
        <v>183</v>
      </c>
    </row>
    <row r="227" spans="1:1" ht="12.75" customHeight="1" x14ac:dyDescent="0.2">
      <c r="A227" t="s">
        <v>827</v>
      </c>
    </row>
    <row r="228" spans="1:1" ht="12.75" customHeight="1" x14ac:dyDescent="0.2">
      <c r="A228" t="s">
        <v>26</v>
      </c>
    </row>
    <row r="229" spans="1:1" ht="12.75" customHeight="1" x14ac:dyDescent="0.2">
      <c r="A229" t="s">
        <v>1278</v>
      </c>
    </row>
    <row r="230" spans="1:1" ht="12.75" customHeight="1" x14ac:dyDescent="0.2">
      <c r="A230" t="s">
        <v>533</v>
      </c>
    </row>
    <row r="231" spans="1:1" ht="12.75" customHeight="1" x14ac:dyDescent="0.2">
      <c r="A231" t="s">
        <v>1612</v>
      </c>
    </row>
    <row r="232" spans="1:1" ht="12.75" customHeight="1" x14ac:dyDescent="0.2">
      <c r="A232" t="s">
        <v>649</v>
      </c>
    </row>
    <row r="233" spans="1:1" ht="12.75" customHeight="1" x14ac:dyDescent="0.2">
      <c r="A233" t="s">
        <v>252</v>
      </c>
    </row>
    <row r="234" spans="1:1" ht="12.75" customHeight="1" x14ac:dyDescent="0.2">
      <c r="A234" t="s">
        <v>1119</v>
      </c>
    </row>
    <row r="235" spans="1:1" ht="12.75" customHeight="1" x14ac:dyDescent="0.2">
      <c r="A235" t="s">
        <v>5</v>
      </c>
    </row>
    <row r="236" spans="1:1" ht="12.75" customHeight="1" x14ac:dyDescent="0.2">
      <c r="A236" t="s">
        <v>287</v>
      </c>
    </row>
    <row r="237" spans="1:1" ht="12.75" customHeight="1" x14ac:dyDescent="0.2">
      <c r="A237" t="s">
        <v>1596</v>
      </c>
    </row>
    <row r="238" spans="1:1" ht="12.75" customHeight="1" x14ac:dyDescent="0.2">
      <c r="A238" t="s">
        <v>1432</v>
      </c>
    </row>
    <row r="239" spans="1:1" ht="12.75" customHeight="1" x14ac:dyDescent="0.2">
      <c r="A239" t="s">
        <v>1293</v>
      </c>
    </row>
    <row r="240" spans="1:1" ht="12.75" customHeight="1" x14ac:dyDescent="0.2">
      <c r="A240" t="s">
        <v>1401</v>
      </c>
    </row>
    <row r="241" spans="1:1" ht="12.75" customHeight="1" x14ac:dyDescent="0.2">
      <c r="A241" t="s">
        <v>94</v>
      </c>
    </row>
    <row r="242" spans="1:1" ht="12.75" customHeight="1" x14ac:dyDescent="0.2">
      <c r="A242" t="s">
        <v>1489</v>
      </c>
    </row>
    <row r="243" spans="1:1" ht="12.75" customHeight="1" x14ac:dyDescent="0.2">
      <c r="A243" t="s">
        <v>737</v>
      </c>
    </row>
    <row r="244" spans="1:1" ht="12.75" customHeight="1" x14ac:dyDescent="0.2">
      <c r="A244" t="s">
        <v>920</v>
      </c>
    </row>
    <row r="245" spans="1:1" ht="12.75" customHeight="1" x14ac:dyDescent="0.2">
      <c r="A245" t="s">
        <v>708</v>
      </c>
    </row>
    <row r="246" spans="1:1" ht="12.75" customHeight="1" x14ac:dyDescent="0.2">
      <c r="A246" t="s">
        <v>836</v>
      </c>
    </row>
    <row r="247" spans="1:1" ht="12.75" customHeight="1" x14ac:dyDescent="0.2">
      <c r="A247" t="s">
        <v>740</v>
      </c>
    </row>
    <row r="248" spans="1:1" ht="12.75" customHeight="1" x14ac:dyDescent="0.2">
      <c r="A248" t="s">
        <v>1115</v>
      </c>
    </row>
    <row r="249" spans="1:1" ht="12.75" customHeight="1" x14ac:dyDescent="0.2">
      <c r="A249" t="s">
        <v>385</v>
      </c>
    </row>
    <row r="250" spans="1:1" ht="12.75" customHeight="1" x14ac:dyDescent="0.2">
      <c r="A250" t="s">
        <v>1519</v>
      </c>
    </row>
    <row r="251" spans="1:1" ht="12.75" customHeight="1" x14ac:dyDescent="0.2">
      <c r="A251" t="s">
        <v>1</v>
      </c>
    </row>
    <row r="252" spans="1:1" ht="12.75" customHeight="1" x14ac:dyDescent="0.2">
      <c r="A252" t="s">
        <v>946</v>
      </c>
    </row>
    <row r="253" spans="1:1" ht="12.75" customHeight="1" x14ac:dyDescent="0.2">
      <c r="A253" t="s">
        <v>1499</v>
      </c>
    </row>
    <row r="254" spans="1:1" ht="12.75" customHeight="1" x14ac:dyDescent="0.2">
      <c r="A254" t="s">
        <v>1246</v>
      </c>
    </row>
    <row r="255" spans="1:1" ht="12.75" customHeight="1" x14ac:dyDescent="0.2">
      <c r="A255" t="s">
        <v>129</v>
      </c>
    </row>
    <row r="256" spans="1:1" ht="12.75" customHeight="1" x14ac:dyDescent="0.2">
      <c r="A256" t="s">
        <v>261</v>
      </c>
    </row>
    <row r="257" spans="1:1" ht="12.75" customHeight="1" x14ac:dyDescent="0.2">
      <c r="A257" t="s">
        <v>637</v>
      </c>
    </row>
    <row r="258" spans="1:1" ht="12.75" customHeight="1" x14ac:dyDescent="0.2">
      <c r="A258" t="s">
        <v>59</v>
      </c>
    </row>
    <row r="259" spans="1:1" ht="12.75" customHeight="1" x14ac:dyDescent="0.2">
      <c r="A259" t="s">
        <v>486</v>
      </c>
    </row>
    <row r="260" spans="1:1" ht="12.75" customHeight="1" x14ac:dyDescent="0.2">
      <c r="A260" t="s">
        <v>315</v>
      </c>
    </row>
    <row r="261" spans="1:1" ht="12.75" customHeight="1" x14ac:dyDescent="0.2">
      <c r="A261" t="s">
        <v>790</v>
      </c>
    </row>
    <row r="262" spans="1:1" ht="12.75" customHeight="1" x14ac:dyDescent="0.2">
      <c r="A262" t="s">
        <v>1391</v>
      </c>
    </row>
    <row r="263" spans="1:1" ht="12.75" customHeight="1" x14ac:dyDescent="0.2">
      <c r="A263" s="241" t="s">
        <v>1041</v>
      </c>
    </row>
    <row r="264" spans="1:1" ht="12.75" customHeight="1" x14ac:dyDescent="0.2">
      <c r="A264" s="241" t="s">
        <v>1490</v>
      </c>
    </row>
    <row r="265" spans="1:1" ht="12.75" customHeight="1" x14ac:dyDescent="0.2">
      <c r="A265" s="241" t="s">
        <v>140</v>
      </c>
    </row>
    <row r="266" spans="1:1" ht="12.75" customHeight="1" x14ac:dyDescent="0.2">
      <c r="A266" s="241" t="s">
        <v>520</v>
      </c>
    </row>
    <row r="267" spans="1:1" ht="12.75" customHeight="1" x14ac:dyDescent="0.2">
      <c r="A267" s="241" t="s">
        <v>1074</v>
      </c>
    </row>
    <row r="268" spans="1:1" ht="12.75" customHeight="1" x14ac:dyDescent="0.2">
      <c r="A268" s="241" t="s">
        <v>1534</v>
      </c>
    </row>
    <row r="269" spans="1:1" ht="12.75" customHeight="1" x14ac:dyDescent="0.2">
      <c r="A269" s="241" t="s">
        <v>1113</v>
      </c>
    </row>
    <row r="270" spans="1:1" ht="12.75" customHeight="1" x14ac:dyDescent="0.2">
      <c r="A270" s="241" t="s">
        <v>840</v>
      </c>
    </row>
    <row r="271" spans="1:1" ht="12.75" customHeight="1" x14ac:dyDescent="0.2">
      <c r="A271" s="241" t="s">
        <v>939</v>
      </c>
    </row>
    <row r="272" spans="1:1" ht="12.75" customHeight="1" x14ac:dyDescent="0.2">
      <c r="A272" s="241" t="s">
        <v>1173</v>
      </c>
    </row>
    <row r="273" spans="1:1" ht="12.75" customHeight="1" x14ac:dyDescent="0.2">
      <c r="A273" s="241" t="s">
        <v>214</v>
      </c>
    </row>
    <row r="274" spans="1:1" ht="12.75" customHeight="1" x14ac:dyDescent="0.2">
      <c r="A274" s="241" t="s">
        <v>1051</v>
      </c>
    </row>
    <row r="275" spans="1:1" ht="12.75" customHeight="1" x14ac:dyDescent="0.2">
      <c r="A275" s="241" t="s">
        <v>1002</v>
      </c>
    </row>
    <row r="276" spans="1:1" ht="12.75" customHeight="1" x14ac:dyDescent="0.2">
      <c r="A276" s="241" t="s">
        <v>244</v>
      </c>
    </row>
    <row r="277" spans="1:1" ht="12.75" customHeight="1" x14ac:dyDescent="0.2">
      <c r="A277" s="241" t="s">
        <v>341</v>
      </c>
    </row>
    <row r="278" spans="1:1" ht="12.75" customHeight="1" x14ac:dyDescent="0.2">
      <c r="A278" s="241" t="s">
        <v>402</v>
      </c>
    </row>
    <row r="279" spans="1:1" ht="12.75" customHeight="1" x14ac:dyDescent="0.2">
      <c r="A279" s="241" t="s">
        <v>493</v>
      </c>
    </row>
    <row r="280" spans="1:1" ht="12.75" customHeight="1" x14ac:dyDescent="0.2">
      <c r="A280" s="241" t="s">
        <v>308</v>
      </c>
    </row>
    <row r="281" spans="1:1" ht="12.75" customHeight="1" x14ac:dyDescent="0.2">
      <c r="A281" s="241" t="s">
        <v>171</v>
      </c>
    </row>
    <row r="282" spans="1:1" ht="12.75" customHeight="1" x14ac:dyDescent="0.2">
      <c r="A282" s="241" t="s">
        <v>159</v>
      </c>
    </row>
    <row r="283" spans="1:1" ht="12.75" customHeight="1" x14ac:dyDescent="0.2">
      <c r="A283" s="241" t="s">
        <v>925</v>
      </c>
    </row>
    <row r="284" spans="1:1" ht="12.75" customHeight="1" x14ac:dyDescent="0.2">
      <c r="A284" s="241" t="s">
        <v>54</v>
      </c>
    </row>
    <row r="285" spans="1:1" ht="12.75" customHeight="1" x14ac:dyDescent="0.2">
      <c r="A285" s="241" t="s">
        <v>303</v>
      </c>
    </row>
    <row r="286" spans="1:1" ht="12.75" customHeight="1" x14ac:dyDescent="0.2">
      <c r="A286" s="241" t="s">
        <v>1151</v>
      </c>
    </row>
    <row r="287" spans="1:1" ht="12.75" customHeight="1" x14ac:dyDescent="0.2">
      <c r="A287" s="241" t="s">
        <v>878</v>
      </c>
    </row>
    <row r="288" spans="1:1" ht="12.75" customHeight="1" x14ac:dyDescent="0.2">
      <c r="A288" s="241" t="s">
        <v>530</v>
      </c>
    </row>
    <row r="289" spans="1:1" ht="12.75" customHeight="1" x14ac:dyDescent="0.2">
      <c r="A289" s="241" t="s">
        <v>971</v>
      </c>
    </row>
    <row r="290" spans="1:1" ht="12.75" customHeight="1" x14ac:dyDescent="0.2">
      <c r="A290" s="241" t="s">
        <v>773</v>
      </c>
    </row>
    <row r="291" spans="1:1" ht="12.75" customHeight="1" x14ac:dyDescent="0.2">
      <c r="A291" s="241" t="s">
        <v>266</v>
      </c>
    </row>
    <row r="292" spans="1:1" ht="12.75" customHeight="1" x14ac:dyDescent="0.2">
      <c r="A292" s="241" t="s">
        <v>1511</v>
      </c>
    </row>
    <row r="293" spans="1:1" ht="12.75" customHeight="1" x14ac:dyDescent="0.2">
      <c r="A293" s="241" t="s">
        <v>1355</v>
      </c>
    </row>
    <row r="294" spans="1:1" ht="12.75" customHeight="1" x14ac:dyDescent="0.2">
      <c r="A294" s="241" t="s">
        <v>823</v>
      </c>
    </row>
    <row r="295" spans="1:1" ht="12.75" customHeight="1" x14ac:dyDescent="0.2">
      <c r="A295" s="241" t="s">
        <v>1091</v>
      </c>
    </row>
    <row r="296" spans="1:1" ht="12.75" customHeight="1" x14ac:dyDescent="0.2">
      <c r="A296" s="241" t="s">
        <v>258</v>
      </c>
    </row>
    <row r="297" spans="1:1" ht="12.75" customHeight="1" x14ac:dyDescent="0.2">
      <c r="A297" s="241" t="s">
        <v>1512</v>
      </c>
    </row>
    <row r="298" spans="1:1" ht="12.75" customHeight="1" x14ac:dyDescent="0.2">
      <c r="A298" s="241" t="s">
        <v>1333</v>
      </c>
    </row>
    <row r="299" spans="1:1" ht="12.75" customHeight="1" x14ac:dyDescent="0.2">
      <c r="A299" s="241" t="s">
        <v>950</v>
      </c>
    </row>
    <row r="300" spans="1:1" ht="12.75" customHeight="1" x14ac:dyDescent="0.2">
      <c r="A300" s="241" t="s">
        <v>69</v>
      </c>
    </row>
    <row r="301" spans="1:1" ht="12.75" customHeight="1" x14ac:dyDescent="0.2">
      <c r="A301" s="241" t="s">
        <v>1352</v>
      </c>
    </row>
    <row r="302" spans="1:1" ht="12.75" customHeight="1" x14ac:dyDescent="0.2">
      <c r="A302" s="241" t="s">
        <v>305</v>
      </c>
    </row>
    <row r="303" spans="1:1" ht="12.75" customHeight="1" x14ac:dyDescent="0.2">
      <c r="A303" s="241" t="s">
        <v>579</v>
      </c>
    </row>
    <row r="304" spans="1:1" ht="12.75" customHeight="1" x14ac:dyDescent="0.2">
      <c r="A304" s="241" t="s">
        <v>1602</v>
      </c>
    </row>
    <row r="305" spans="1:1" ht="12.75" customHeight="1" x14ac:dyDescent="0.2">
      <c r="A305" s="241" t="s">
        <v>696</v>
      </c>
    </row>
    <row r="306" spans="1:1" ht="12.75" customHeight="1" x14ac:dyDescent="0.2">
      <c r="A306" s="241" t="s">
        <v>673</v>
      </c>
    </row>
    <row r="307" spans="1:1" ht="12.75" customHeight="1" x14ac:dyDescent="0.2">
      <c r="A307" s="241" t="s">
        <v>824</v>
      </c>
    </row>
    <row r="308" spans="1:1" ht="12.75" customHeight="1" x14ac:dyDescent="0.2">
      <c r="A308" s="241" t="s">
        <v>728</v>
      </c>
    </row>
    <row r="309" spans="1:1" ht="12.75" customHeight="1" x14ac:dyDescent="0.2">
      <c r="A309" s="241" t="s">
        <v>251</v>
      </c>
    </row>
    <row r="310" spans="1:1" ht="12.75" customHeight="1" x14ac:dyDescent="0.2">
      <c r="A310" s="241" t="s">
        <v>1232</v>
      </c>
    </row>
    <row r="311" spans="1:1" ht="12.75" customHeight="1" x14ac:dyDescent="0.2">
      <c r="A311" s="241" t="s">
        <v>276</v>
      </c>
    </row>
    <row r="312" spans="1:1" ht="12.75" customHeight="1" x14ac:dyDescent="0.2">
      <c r="A312" s="241" t="s">
        <v>570</v>
      </c>
    </row>
    <row r="313" spans="1:1" ht="12.75" customHeight="1" x14ac:dyDescent="0.2">
      <c r="A313" s="241" t="s">
        <v>278</v>
      </c>
    </row>
    <row r="314" spans="1:1" ht="12.75" customHeight="1" x14ac:dyDescent="0.2">
      <c r="A314" s="241" t="s">
        <v>518</v>
      </c>
    </row>
    <row r="315" spans="1:1" ht="12.75" customHeight="1" x14ac:dyDescent="0.2">
      <c r="A315" s="241" t="s">
        <v>1340</v>
      </c>
    </row>
    <row r="316" spans="1:1" ht="12.75" customHeight="1" x14ac:dyDescent="0.2">
      <c r="A316" s="241" t="s">
        <v>623</v>
      </c>
    </row>
    <row r="317" spans="1:1" ht="12.75" customHeight="1" x14ac:dyDescent="0.2">
      <c r="A317" s="241" t="s">
        <v>269</v>
      </c>
    </row>
    <row r="318" spans="1:1" ht="12.75" customHeight="1" x14ac:dyDescent="0.2">
      <c r="A318" s="241" t="s">
        <v>691</v>
      </c>
    </row>
    <row r="319" spans="1:1" ht="12.75" customHeight="1" x14ac:dyDescent="0.2">
      <c r="A319" s="241" t="s">
        <v>1226</v>
      </c>
    </row>
    <row r="320" spans="1:1" ht="12.75" customHeight="1" x14ac:dyDescent="0.2">
      <c r="A320" s="241" t="s">
        <v>544</v>
      </c>
    </row>
    <row r="321" spans="1:1" ht="12.75" customHeight="1" x14ac:dyDescent="0.2">
      <c r="A321" s="241" t="s">
        <v>60</v>
      </c>
    </row>
    <row r="322" spans="1:1" ht="12.75" customHeight="1" x14ac:dyDescent="0.2">
      <c r="A322" s="241" t="s">
        <v>1403</v>
      </c>
    </row>
    <row r="323" spans="1:1" ht="12.75" customHeight="1" x14ac:dyDescent="0.2">
      <c r="A323" s="241" t="s">
        <v>722</v>
      </c>
    </row>
    <row r="324" spans="1:1" ht="12.75" customHeight="1" x14ac:dyDescent="0.2">
      <c r="A324" s="241" t="s">
        <v>883</v>
      </c>
    </row>
    <row r="325" spans="1:1" ht="12.75" customHeight="1" x14ac:dyDescent="0.2">
      <c r="A325" s="241" t="s">
        <v>1257</v>
      </c>
    </row>
    <row r="326" spans="1:1" ht="12.75" customHeight="1" x14ac:dyDescent="0.2">
      <c r="A326" s="241" t="s">
        <v>451</v>
      </c>
    </row>
    <row r="327" spans="1:1" ht="12.75" customHeight="1" x14ac:dyDescent="0.2">
      <c r="A327" s="241" t="s">
        <v>267</v>
      </c>
    </row>
    <row r="328" spans="1:1" ht="12.75" customHeight="1" x14ac:dyDescent="0.2">
      <c r="A328" s="241" t="s">
        <v>657</v>
      </c>
    </row>
    <row r="329" spans="1:1" ht="12.75" customHeight="1" x14ac:dyDescent="0.2">
      <c r="A329" s="241" t="s">
        <v>1308</v>
      </c>
    </row>
    <row r="330" spans="1:1" ht="12.75" customHeight="1" x14ac:dyDescent="0.2">
      <c r="A330" s="241" t="s">
        <v>1282</v>
      </c>
    </row>
    <row r="331" spans="1:1" ht="12.75" customHeight="1" x14ac:dyDescent="0.2">
      <c r="A331" s="241" t="s">
        <v>1141</v>
      </c>
    </row>
    <row r="332" spans="1:1" ht="12.75" customHeight="1" x14ac:dyDescent="0.2">
      <c r="A332" s="241" t="s">
        <v>84</v>
      </c>
    </row>
    <row r="333" spans="1:1" ht="12.75" customHeight="1" x14ac:dyDescent="0.2">
      <c r="A333" s="241" t="s">
        <v>1082</v>
      </c>
    </row>
    <row r="334" spans="1:1" ht="12.75" customHeight="1" x14ac:dyDescent="0.2">
      <c r="A334" s="241" t="s">
        <v>248</v>
      </c>
    </row>
    <row r="335" spans="1:1" ht="12.75" customHeight="1" x14ac:dyDescent="0.2">
      <c r="A335" s="241" t="s">
        <v>1544</v>
      </c>
    </row>
    <row r="336" spans="1:1" ht="12.75" customHeight="1" x14ac:dyDescent="0.2">
      <c r="A336" s="241" t="s">
        <v>507</v>
      </c>
    </row>
    <row r="337" spans="1:1" ht="12.75" customHeight="1" x14ac:dyDescent="0.2">
      <c r="A337" s="241" t="s">
        <v>758</v>
      </c>
    </row>
    <row r="338" spans="1:1" ht="12.75" customHeight="1" x14ac:dyDescent="0.2">
      <c r="A338" s="241" t="s">
        <v>62</v>
      </c>
    </row>
    <row r="339" spans="1:1" ht="12.75" customHeight="1" x14ac:dyDescent="0.2">
      <c r="A339" s="241" t="s">
        <v>483</v>
      </c>
    </row>
    <row r="340" spans="1:1" ht="12.75" customHeight="1" x14ac:dyDescent="0.2">
      <c r="A340" s="241" t="s">
        <v>1424</v>
      </c>
    </row>
    <row r="341" spans="1:1" ht="12.75" customHeight="1" x14ac:dyDescent="0.2">
      <c r="A341" s="241" t="s">
        <v>1410</v>
      </c>
    </row>
    <row r="342" spans="1:1" ht="12.75" customHeight="1" x14ac:dyDescent="0.2">
      <c r="A342" s="241" t="s">
        <v>941</v>
      </c>
    </row>
    <row r="343" spans="1:1" ht="12.75" customHeight="1" x14ac:dyDescent="0.2">
      <c r="A343" s="241" t="s">
        <v>1521</v>
      </c>
    </row>
    <row r="344" spans="1:1" ht="12.75" customHeight="1" x14ac:dyDescent="0.2">
      <c r="A344" s="241" t="s">
        <v>857</v>
      </c>
    </row>
    <row r="345" spans="1:1" ht="12.75" customHeight="1" x14ac:dyDescent="0.2">
      <c r="A345" s="241" t="s">
        <v>1130</v>
      </c>
    </row>
    <row r="346" spans="1:1" ht="12.75" customHeight="1" x14ac:dyDescent="0.2">
      <c r="A346" s="241" t="s">
        <v>237</v>
      </c>
    </row>
    <row r="347" spans="1:1" ht="12.75" customHeight="1" x14ac:dyDescent="0.2">
      <c r="A347" s="241" t="s">
        <v>182</v>
      </c>
    </row>
    <row r="348" spans="1:1" ht="12.75" customHeight="1" x14ac:dyDescent="0.2">
      <c r="A348" s="241" t="s">
        <v>521</v>
      </c>
    </row>
    <row r="349" spans="1:1" ht="12.75" customHeight="1" x14ac:dyDescent="0.2">
      <c r="A349" s="241" t="s">
        <v>1341</v>
      </c>
    </row>
    <row r="350" spans="1:1" ht="12.75" customHeight="1" x14ac:dyDescent="0.2">
      <c r="A350" s="241" t="s">
        <v>170</v>
      </c>
    </row>
    <row r="351" spans="1:1" ht="12.75" customHeight="1" x14ac:dyDescent="0.2">
      <c r="A351" s="241" t="s">
        <v>1392</v>
      </c>
    </row>
    <row r="352" spans="1:1" ht="12.75" customHeight="1" x14ac:dyDescent="0.2">
      <c r="A352" s="241" t="s">
        <v>199</v>
      </c>
    </row>
    <row r="353" spans="1:1" ht="12.75" customHeight="1" x14ac:dyDescent="0.2">
      <c r="A353" s="241" t="s">
        <v>1155</v>
      </c>
    </row>
    <row r="354" spans="1:1" ht="12.75" customHeight="1" x14ac:dyDescent="0.2">
      <c r="A354" s="241" t="s">
        <v>416</v>
      </c>
    </row>
    <row r="355" spans="1:1" ht="12.75" customHeight="1" x14ac:dyDescent="0.2">
      <c r="A355" s="241" t="s">
        <v>963</v>
      </c>
    </row>
    <row r="356" spans="1:1" ht="12.75" customHeight="1" x14ac:dyDescent="0.2">
      <c r="A356" s="241" t="s">
        <v>91</v>
      </c>
    </row>
    <row r="357" spans="1:1" ht="12.75" customHeight="1" x14ac:dyDescent="0.2">
      <c r="A357" s="241" t="s">
        <v>79</v>
      </c>
    </row>
    <row r="358" spans="1:1" ht="12.75" customHeight="1" x14ac:dyDescent="0.2">
      <c r="A358" s="241" t="s">
        <v>289</v>
      </c>
    </row>
    <row r="359" spans="1:1" ht="12.75" customHeight="1" x14ac:dyDescent="0.2">
      <c r="A359" s="241" t="s">
        <v>1383</v>
      </c>
    </row>
    <row r="360" spans="1:1" ht="12.75" customHeight="1" x14ac:dyDescent="0.2">
      <c r="A360" s="241" t="s">
        <v>88</v>
      </c>
    </row>
    <row r="361" spans="1:1" ht="12.75" customHeight="1" x14ac:dyDescent="0.2">
      <c r="A361" s="241" t="s">
        <v>741</v>
      </c>
    </row>
    <row r="362" spans="1:1" ht="12.75" customHeight="1" x14ac:dyDescent="0.2">
      <c r="A362" s="241" t="s">
        <v>452</v>
      </c>
    </row>
    <row r="363" spans="1:1" ht="12.75" customHeight="1" x14ac:dyDescent="0.2">
      <c r="A363" s="241" t="s">
        <v>1606</v>
      </c>
    </row>
    <row r="364" spans="1:1" ht="12.75" customHeight="1" x14ac:dyDescent="0.2">
      <c r="A364" s="241" t="s">
        <v>830</v>
      </c>
    </row>
    <row r="365" spans="1:1" ht="12.75" customHeight="1" x14ac:dyDescent="0.2">
      <c r="A365" s="241" t="s">
        <v>286</v>
      </c>
    </row>
    <row r="366" spans="1:1" ht="12.75" customHeight="1" x14ac:dyDescent="0.2">
      <c r="A366" s="241" t="s">
        <v>1021</v>
      </c>
    </row>
    <row r="367" spans="1:1" ht="12.75" customHeight="1" x14ac:dyDescent="0.2">
      <c r="A367" s="241" t="s">
        <v>621</v>
      </c>
    </row>
    <row r="368" spans="1:1" ht="12.75" customHeight="1" x14ac:dyDescent="0.2">
      <c r="A368" s="241" t="s">
        <v>1464</v>
      </c>
    </row>
    <row r="369" spans="1:1" ht="12.75" customHeight="1" x14ac:dyDescent="0.2">
      <c r="A369" s="241" t="s">
        <v>1408</v>
      </c>
    </row>
    <row r="370" spans="1:1" ht="12.75" customHeight="1" x14ac:dyDescent="0.2">
      <c r="A370" s="241" t="s">
        <v>742</v>
      </c>
    </row>
    <row r="371" spans="1:1" ht="12.75" customHeight="1" x14ac:dyDescent="0.2">
      <c r="A371" s="241" t="s">
        <v>907</v>
      </c>
    </row>
    <row r="372" spans="1:1" ht="12.75" customHeight="1" x14ac:dyDescent="0.2">
      <c r="A372" s="241" t="s">
        <v>1562</v>
      </c>
    </row>
    <row r="373" spans="1:1" ht="12.75" customHeight="1" x14ac:dyDescent="0.2">
      <c r="A373" s="241" t="s">
        <v>45</v>
      </c>
    </row>
    <row r="374" spans="1:1" ht="12.75" customHeight="1" x14ac:dyDescent="0.2">
      <c r="A374" s="241" t="s">
        <v>816</v>
      </c>
    </row>
    <row r="375" spans="1:1" ht="12.75" customHeight="1" x14ac:dyDescent="0.2">
      <c r="A375" s="241" t="s">
        <v>1100</v>
      </c>
    </row>
    <row r="376" spans="1:1" ht="12.75" customHeight="1" x14ac:dyDescent="0.2">
      <c r="A376" s="241" t="s">
        <v>808</v>
      </c>
    </row>
    <row r="377" spans="1:1" ht="12.75" customHeight="1" x14ac:dyDescent="0.2">
      <c r="A377" s="241" t="s">
        <v>98</v>
      </c>
    </row>
    <row r="378" spans="1:1" ht="12.75" customHeight="1" x14ac:dyDescent="0.2">
      <c r="A378" s="241" t="s">
        <v>738</v>
      </c>
    </row>
    <row r="379" spans="1:1" ht="12.75" customHeight="1" x14ac:dyDescent="0.2">
      <c r="A379" s="241" t="s">
        <v>239</v>
      </c>
    </row>
    <row r="380" spans="1:1" ht="12.75" customHeight="1" x14ac:dyDescent="0.2">
      <c r="A380" s="241" t="s">
        <v>529</v>
      </c>
    </row>
    <row r="381" spans="1:1" ht="12.75" customHeight="1" x14ac:dyDescent="0.2">
      <c r="A381" s="241" t="s">
        <v>548</v>
      </c>
    </row>
    <row r="382" spans="1:1" ht="12.75" customHeight="1" x14ac:dyDescent="0.2">
      <c r="A382" s="241" t="s">
        <v>1457</v>
      </c>
    </row>
    <row r="383" spans="1:1" ht="12.75" customHeight="1" x14ac:dyDescent="0.2">
      <c r="A383" s="241" t="s">
        <v>889</v>
      </c>
    </row>
    <row r="384" spans="1:1" ht="12.75" customHeight="1" x14ac:dyDescent="0.2">
      <c r="A384" s="241" t="s">
        <v>1423</v>
      </c>
    </row>
    <row r="385" spans="1:1" ht="12.75" customHeight="1" x14ac:dyDescent="0.2">
      <c r="A385" s="241" t="s">
        <v>249</v>
      </c>
    </row>
    <row r="386" spans="1:1" ht="12.75" customHeight="1" x14ac:dyDescent="0.2">
      <c r="A386" s="241" t="s">
        <v>561</v>
      </c>
    </row>
    <row r="387" spans="1:1" ht="12.75" customHeight="1" x14ac:dyDescent="0.2">
      <c r="A387" s="241" t="s">
        <v>1037</v>
      </c>
    </row>
    <row r="388" spans="1:1" ht="12.75" customHeight="1" x14ac:dyDescent="0.2">
      <c r="A388" s="241" t="s">
        <v>576</v>
      </c>
    </row>
    <row r="389" spans="1:1" ht="12.75" customHeight="1" x14ac:dyDescent="0.2">
      <c r="A389" s="241" t="s">
        <v>1064</v>
      </c>
    </row>
  </sheetData>
  <pageMargins left="0.75" right="0.75" top="1" bottom="1" header="0.5" footer="0.5"/>
  <pageSetup paperSize="9"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6"/>
  <sheetViews>
    <sheetView zoomScaleNormal="100" workbookViewId="0"/>
  </sheetViews>
  <sheetFormatPr defaultRowHeight="12.75" customHeight="1" x14ac:dyDescent="0.2"/>
  <sheetData>
    <row r="1" spans="1:64" ht="12.75" customHeight="1" x14ac:dyDescent="0.2">
      <c r="A1" t="s">
        <v>1603</v>
      </c>
      <c r="B1" t="str">
        <f>Labels!B122</f>
        <v>Time (Yr)</v>
      </c>
      <c r="C1" t="s">
        <v>490</v>
      </c>
      <c r="D1" t="str">
        <f>Labels!E122</f>
        <v>Counts time in years</v>
      </c>
      <c r="E1" t="s">
        <v>400</v>
      </c>
      <c r="F1" t="str">
        <f>Labels!B98</f>
        <v>Revenue</v>
      </c>
      <c r="G1" t="s">
        <v>1465</v>
      </c>
      <c r="H1" t="str">
        <f>Labels!E98</f>
        <v>Revenue, segmented by subproject, product and time period.
The variable computes values from a formula that uses previous revenue and 'Revenue Growth rate'. You can override the default values by entering your own values.</v>
      </c>
      <c r="I1" t="s">
        <v>1071</v>
      </c>
      <c r="J1" t="str">
        <f>Labels!B53</f>
        <v>Variable Operating Expense</v>
      </c>
      <c r="K1" t="s">
        <v>298</v>
      </c>
      <c r="L1" t="str">
        <f>Labels!E53</f>
        <v>Variable operating expense, segmented by subproject, variable expense account, and time period.
The variable computes values from a formula that uses revenue and 'Variable Operating Expense as a percent of revenue'. You can override the default values by entering your own values.</v>
      </c>
      <c r="M1" t="s">
        <v>1480</v>
      </c>
      <c r="N1" t="str">
        <f>Labels!B54</f>
        <v>Variable Operating Exp % Rev</v>
      </c>
      <c r="O1" t="s">
        <v>897</v>
      </c>
      <c r="P1" t="str">
        <f>Labels!E54</f>
        <v>Variable operating expense as a percent of revenue, segmented by subproject, variable expense account, and time period</v>
      </c>
      <c r="Q1" t="s">
        <v>1302</v>
      </c>
      <c r="R1" t="str">
        <f>Labels!B52</f>
        <v>Initial Fixed Operating Expense</v>
      </c>
      <c r="S1" t="s">
        <v>1491</v>
      </c>
      <c r="T1" t="str">
        <f>Labels!E52</f>
        <v>Fixed operating expense in the first time period, segmented by subproject and product. 'Fixed' means the expense does not vary with revenue or sales units; it can vary with time.</v>
      </c>
      <c r="U1" t="s">
        <v>834</v>
      </c>
      <c r="V1" t="str">
        <f>Labels!B49</f>
        <v>Fixed Operating Expense</v>
      </c>
      <c r="W1" t="s">
        <v>1033</v>
      </c>
      <c r="X1" t="str">
        <f>Labels!E49</f>
        <v>Fixed operating expenses, segmented by subproject and by time period. Fixed expense begins when the investment is made. 'Fixed' means the expense does not vary with revenue or sales units; it can vary with time.
The variable computes values from a formula that uses previous fixed expense and 'Fixed Operating Expense Growth rate'. You can override the default values by entering your own values.</v>
      </c>
      <c r="Y1" t="s">
        <v>498</v>
      </c>
      <c r="Z1" t="str">
        <f>Labels!B50</f>
        <v>Fixed Operating Exp Growth %</v>
      </c>
      <c r="AA1" t="s">
        <v>485</v>
      </c>
      <c r="AB1" t="str">
        <f>Labels!E50</f>
        <v>Rate of growth of fixed operating expenses, segmented by subproject and by time period. 'Fixed' means the expense does not vary with revenue or sales units; it can vary with time.</v>
      </c>
      <c r="AC1" t="s">
        <v>838</v>
      </c>
      <c r="AD1" t="str">
        <f>Labels!B47</f>
        <v>EBITDA</v>
      </c>
      <c r="AE1" t="s">
        <v>122</v>
      </c>
      <c r="AF1" t="str">
        <f>Labels!E47</f>
        <v>Earnings before interest, income taxes, depreciation, and amortization. Computed as revenue less operating expenses, segmented by subproject and by time period. Covers model time, excludes tail after model time.</v>
      </c>
      <c r="AG1" t="s">
        <v>786</v>
      </c>
      <c r="AH1" t="str">
        <f>Labels!B45</f>
        <v>EBIT</v>
      </c>
      <c r="AI1" t="s">
        <v>588</v>
      </c>
      <c r="AJ1" t="str">
        <f>Labels!E45</f>
        <v>Earnings before interest and taxes during model time</v>
      </c>
      <c r="AK1" t="s">
        <v>1145</v>
      </c>
      <c r="AL1" t="str">
        <f>Labels!B58</f>
        <v>Financial Leverage</v>
      </c>
      <c r="AM1" t="s">
        <v>614</v>
      </c>
      <c r="AN1" t="str">
        <f>Labels!E58</f>
        <v>The ratio (lease + debt financing) / (gross investment), by time period. Used in computing discount rate for capital asset pricing model (an optional method for computing the discount rate).</v>
      </c>
      <c r="AO1" t="s">
        <v>1554</v>
      </c>
      <c r="AP1" t="str">
        <f>Labels!B61</f>
        <v>Income Tax - Equity Fin</v>
      </c>
      <c r="AQ1" t="s">
        <v>725</v>
      </c>
      <c r="AR1" t="str">
        <f>Labels!E61</f>
        <v>Income tax expense for 100% equity financing, by time period. Investment tax credit has not been subtracted at this point. The model does not include loss carried forward.
This variable does not enforce the constsraint that taxes are positive or zero, so that it can be used in blended financing.</v>
      </c>
      <c r="AS1" t="s">
        <v>144</v>
      </c>
      <c r="AT1" t="str">
        <f>Labels!B62</f>
        <v>Income Tax Rate</v>
      </c>
      <c r="AU1" t="s">
        <v>1518</v>
      </c>
      <c r="AV1" t="str">
        <f>Labels!E62</f>
        <v>Income tax rate on taxable income. If taxable income is negative, tax is zero.</v>
      </c>
      <c r="AW1" t="s">
        <v>93</v>
      </c>
      <c r="AX1" t="str">
        <f>Labels!B97</f>
        <v>Return on Sales %</v>
      </c>
      <c r="AY1" t="s">
        <v>1267</v>
      </c>
      <c r="AZ1" t="str">
        <f>Labels!E97</f>
        <v>Return on sales % is (EBIT less tax) / Revenue, by time period</v>
      </c>
      <c r="BA1" t="s">
        <v>1189</v>
      </c>
      <c r="BB1" t="str">
        <f>Labels!B40</f>
        <v>Discount Method (Direct or CAPM)</v>
      </c>
      <c r="BC1" t="s">
        <v>216</v>
      </c>
      <c r="BD1" t="str">
        <f>Labels!E40</f>
        <v>Discount method is one of "Direct" (you directly specify the rate) and "CAPM" (capital asset pricing model)</v>
      </c>
      <c r="BE1" t="s">
        <v>1306</v>
      </c>
      <c r="BF1" t="str">
        <f>Labels!B41</f>
        <v>Discount Rate</v>
      </c>
      <c r="BG1" t="s">
        <v>300</v>
      </c>
      <c r="BH1" t="str">
        <f>Labels!E41</f>
        <v>Discount rate for computing present values of cash flows, by time period. If discount method is "Direct" then use specified numerical input; if discount method is "CAPM" then use the capital asset procing model formula for the discount rate in terms of riskless return, beta, risk premium and debt ratio.</v>
      </c>
      <c r="BI1" t="s">
        <v>942</v>
      </c>
      <c r="BJ1" t="str">
        <f>Labels!B39</f>
        <v>Discount Factor</v>
      </c>
      <c r="BK1" t="s">
        <v>472</v>
      </c>
      <c r="BL1" t="str">
        <f>Labels!E39</f>
        <v>The discount factor to convert a cash flow at the end of a time period to a present value at the start of model time</v>
      </c>
    </row>
    <row r="2" spans="1:64" ht="12.75" customHeight="1" x14ac:dyDescent="0.2">
      <c r="A2" t="s">
        <v>188</v>
      </c>
      <c r="B2" t="str">
        <f>Labels!B43</f>
        <v>Discount Rate Default</v>
      </c>
      <c r="C2" t="s">
        <v>1197</v>
      </c>
      <c r="D2" t="str">
        <f>Labels!E43</f>
        <v>When discount method is "Direct", use this discount rate in discounted cash flows.</v>
      </c>
      <c r="E2" t="s">
        <v>224</v>
      </c>
      <c r="F2" t="str">
        <f>Labels!B102</f>
        <v>Riskless Discount Rate</v>
      </c>
      <c r="G2" t="s">
        <v>880</v>
      </c>
      <c r="H2" t="str">
        <f>Labels!E102</f>
        <v>Rate of return on "riskless" investments in the capital asset pricing model, for each time period. Usually approximated as the rate of return on treasury bills.</v>
      </c>
      <c r="I2" t="s">
        <v>1248</v>
      </c>
      <c r="J2" t="str">
        <f>Labels!B11</f>
        <v>Borrowing Rate</v>
      </c>
      <c r="K2" t="s">
        <v>715</v>
      </c>
      <c r="L2" t="str">
        <f>Labels!E11</f>
        <v xml:space="preserve">Interest rate per time period at which debt financing can be obtained for each subproject.
</v>
      </c>
      <c r="M2" t="s">
        <v>477</v>
      </c>
      <c r="N2" t="str">
        <f>Labels!B6</f>
        <v>Beta</v>
      </c>
      <c r="O2" t="s">
        <v>487</v>
      </c>
      <c r="P2" t="str">
        <f>Labels!E6</f>
        <v>The beta parameter of the capital asset pricing model: the correlation between return on this investment and return on a broad market index fund. Settable for each subproject separately.</v>
      </c>
      <c r="Q2" t="s">
        <v>291</v>
      </c>
      <c r="R2" t="str">
        <f>Labels!B100</f>
        <v>Market Risk Premium</v>
      </c>
      <c r="S2" t="s">
        <v>19</v>
      </c>
      <c r="T2" t="str">
        <f>Labels!E100</f>
        <v>The risk premium in the capital asset pricing model, by time period</v>
      </c>
      <c r="U2" t="s">
        <v>194</v>
      </c>
      <c r="V2" t="str">
        <f>Labels!B131</f>
        <v>Working Capital</v>
      </c>
      <c r="W2" t="s">
        <v>1218</v>
      </c>
      <c r="X2" t="str">
        <f>Labels!E131</f>
        <v>Working capital, segmented by working capital account, by subproject, and by time period. 
Working capital is specified directly in the first time period for each subproject. In later time periods, working capital is set as a percent of revenue.</v>
      </c>
      <c r="Y2" t="s">
        <v>1338</v>
      </c>
      <c r="Z2" t="str">
        <f>Labels!B127</f>
        <v>Initial Working Cap</v>
      </c>
      <c r="AA2" t="s">
        <v>1068</v>
      </c>
      <c r="AB2" t="str">
        <f>Labels!E127</f>
        <v>The initial working capital invested at the start of each subproject, segmented by working capital account and by subproject</v>
      </c>
      <c r="AC2" t="s">
        <v>44</v>
      </c>
      <c r="AD2" t="str">
        <f>Labels!B129</f>
        <v>Working Capital % Rev</v>
      </c>
      <c r="AE2" t="s">
        <v>896</v>
      </c>
      <c r="AF2" t="str">
        <f>Labels!E129</f>
        <v>Working capital requirements as a percentage of revenue, segmented by working capital account and by subproject. 
Working capital is specified directly in the first time period for each subproject. In later time periods, working capital is set as a percent of revenue.</v>
      </c>
      <c r="AG2" t="s">
        <v>732</v>
      </c>
      <c r="AH2" t="str">
        <f>Labels!B21</f>
        <v>Cash Flow - Working Cap</v>
      </c>
      <c r="AI2" t="s">
        <v>1164</v>
      </c>
      <c r="AJ2" t="str">
        <f>Labels!E21</f>
        <v>Working capital cash flow, segmented by working capital account, subproject, and time period. Includes residual value recovered at the end of life of each subproject. Unrecoverable working capital is written off as an amortization at the end of project physical life. (See Working_Cap_Amort.)</v>
      </c>
      <c r="AK2" t="s">
        <v>447</v>
      </c>
      <c r="AL2" t="str">
        <f>Labels!B130</f>
        <v>Working Capital Residual %</v>
      </c>
      <c r="AM2" t="s">
        <v>986</v>
      </c>
      <c r="AN2" t="str">
        <f>Labels!E130</f>
        <v>Working capital salvage value as a percentage of the working capital at the termination of the project, segmented by working capital account and by subproject</v>
      </c>
      <c r="AO2" t="s">
        <v>2</v>
      </c>
      <c r="AP2" t="str">
        <f>Labels!B68</f>
        <v>Net Fixed Invest</v>
      </c>
      <c r="AQ2" t="s">
        <v>724</v>
      </c>
      <c r="AR2" t="str">
        <f>Labels!E68</f>
        <v>Net investment is gross investmnet less investment tax credit, segmented by subproject. The investment tax credit may be paid after the start of each subproject. The model assumes you must finance only net investment.
The effective net investment for leased assets is assumed to be less because parties that have title to the assets get the investment tax credit, and this reduces leasing costs.</v>
      </c>
      <c r="AS2" t="s">
        <v>359</v>
      </c>
      <c r="AT2" t="str">
        <f>Labels!B70</f>
        <v>Gross Investment</v>
      </c>
      <c r="AU2" t="s">
        <v>1351</v>
      </c>
      <c r="AV2" t="str">
        <f>Labels!E70</f>
        <v>Initial gross investment is depreciable investment plus non-depreciable investment plus initial working capital. Excludes residual value of investments. Gross investment is computed for each subproject, but not for each investment within a subproject. 
This amount is used to compute the principal amounts for debt and effective principal amounts for leases.</v>
      </c>
      <c r="AW2" t="s">
        <v>690</v>
      </c>
      <c r="AX2" t="str">
        <f>Labels!B76</f>
        <v>Invest Tax Credit</v>
      </c>
      <c r="AY2" t="s">
        <v>403</v>
      </c>
      <c r="AZ2" t="str">
        <f>Labels!E76</f>
        <v>Investment tax credit, segmented by subproject. Applies only to depreciable investment. Excludes leased assets because the project does not get the investment tax credit for these assets.</v>
      </c>
      <c r="BA2" t="s">
        <v>1292</v>
      </c>
      <c r="BB2" t="str">
        <f>Labels!B79</f>
        <v>Invest Tax Credit %</v>
      </c>
      <c r="BC2" t="s">
        <v>714</v>
      </c>
      <c r="BD2" t="str">
        <f>Labels!E79</f>
        <v>Percentage of depreciable investment that determines investment tax credit, segmented by subproject</v>
      </c>
      <c r="BE2" t="s">
        <v>168</v>
      </c>
      <c r="BF2" t="str">
        <f>Labels!B35</f>
        <v>Depreciation</v>
      </c>
      <c r="BG2" t="s">
        <v>1498</v>
      </c>
      <c r="BH2" t="str">
        <f>Labels!E35</f>
        <v>Depreciation of depreciable investment (excluding salvage value), using specified depreciation method, segmented by subproject and by time period</v>
      </c>
      <c r="BI2" t="s">
        <v>281</v>
      </c>
      <c r="BJ2" t="str">
        <f>Labels!B37</f>
        <v>Deprec Method</v>
      </c>
      <c r="BK2" t="s">
        <v>1509</v>
      </c>
      <c r="BL2" t="str">
        <f>Labels!E37</f>
        <v>Depreciation method is one of "Linear" "SYD" and "DDB".</v>
      </c>
    </row>
    <row r="3" spans="1:64" ht="12.75" customHeight="1" x14ac:dyDescent="0.2">
      <c r="A3" t="s">
        <v>674</v>
      </c>
      <c r="B3" t="str">
        <f>Labels!B10</f>
        <v>Book Value Fixed Inv (Start)</v>
      </c>
      <c r="C3" t="s">
        <v>1192</v>
      </c>
      <c r="D3" t="str">
        <f>Labels!E10</f>
        <v>Book value of the fixed investment at the start of each time period</v>
      </c>
      <c r="E3" t="s">
        <v>1253</v>
      </c>
      <c r="F3" t="str">
        <f>Labels!B13</f>
        <v>Average Capital</v>
      </c>
      <c r="G3" t="s">
        <v>1295</v>
      </c>
      <c r="H3" t="str">
        <f>Labels!E13</f>
        <v>Average capital employed in each time period is the average of initial and final book value for the period. Capital consists of fixed assets and working capital.</v>
      </c>
      <c r="I3" t="s">
        <v>163</v>
      </c>
      <c r="J3" t="str">
        <f>Labels!B96</f>
        <v>Avg ROC (Yr)</v>
      </c>
      <c r="K3" t="s">
        <v>707</v>
      </c>
      <c r="L3" t="str">
        <f>Labels!E96</f>
        <v>Average annualized return on capital during model time (excluding the cash flow in the tail after model time)</v>
      </c>
      <c r="M3" t="s">
        <v>1201</v>
      </c>
      <c r="N3" t="str">
        <f>Labels!B123</f>
        <v>Valuation</v>
      </c>
      <c r="O3" t="s">
        <v>1418</v>
      </c>
      <c r="P3" t="str">
        <f>Labels!E123</f>
        <v>Valuation of equity in each time period, as present value of cash flow including tail value (but excluding project-wide bonds, if included in the model). Uses blended financing.
The valuation is the NPV of the cash flow to equity holders. The principal components of the cash flow are + revenue - operating expense - gross fixed investments - working capital investments + borrowings - loan payments - lease payments - taxes.</v>
      </c>
      <c r="Q3" t="s">
        <v>125</v>
      </c>
      <c r="R3" t="str">
        <f>Labels!B108</f>
        <v>Tail Discount Rate</v>
      </c>
      <c r="S3" t="s">
        <v>797</v>
      </c>
      <c r="T3" t="str">
        <f>Labels!E108</f>
        <v>Discount rate per time period applied to cash flows that are projected after the end model time</v>
      </c>
      <c r="U3" t="s">
        <v>1049</v>
      </c>
      <c r="V3" t="str">
        <f>Labels!B116</f>
        <v>Tail Late Growth Rate</v>
      </c>
      <c r="W3" t="s">
        <v>1384</v>
      </c>
      <c r="X3" t="str">
        <f>Labels!E116</f>
        <v xml:space="preserve">The rate at which cash flow grows in the late phase of time after the end of model time </v>
      </c>
      <c r="Y3" t="s">
        <v>551</v>
      </c>
      <c r="Z3" t="str">
        <f>Labels!B95</f>
        <v>Project Name</v>
      </c>
      <c r="AA3" t="s">
        <v>1466</v>
      </c>
      <c r="AB3" t="str">
        <f>Labels!E95</f>
        <v>Name of the investment project</v>
      </c>
      <c r="AC3" t="s">
        <v>409</v>
      </c>
      <c r="AD3" t="str">
        <f>Labels!B44</f>
        <v>Discount Rate Default (Yr)</v>
      </c>
      <c r="AE3" t="s">
        <v>1238</v>
      </c>
      <c r="AF3" t="str">
        <f>Labels!E44</f>
        <v>The discount rate to use when the discount method is "Direct". 
The discount rate for the first time period and the first subproject is, by default, copied to the later time periods and other subprojects. You can override the default by entering a discount rate for any time period and subproject.</v>
      </c>
      <c r="AG3" t="s">
        <v>1469</v>
      </c>
      <c r="AH3" t="str">
        <f>Labels!B103</f>
        <v>Riskless Discount Rate (Yr)</v>
      </c>
      <c r="AI3" t="s">
        <v>1429</v>
      </c>
      <c r="AJ3" t="str">
        <f>Labels!E103</f>
        <v>Annual rate of return on "riskless" investments in the capital asset pricing model. Usually approximated as the rate of return on treasury bills.</v>
      </c>
      <c r="AK3" t="s">
        <v>1529</v>
      </c>
      <c r="AL3" t="str">
        <f>Labels!B12</f>
        <v>Borrowing Rate (Yr)</v>
      </c>
      <c r="AM3" t="s">
        <v>420</v>
      </c>
      <c r="AN3" t="str">
        <f>Labels!E12</f>
        <v>Annual interest rate at which debt financing can be obtained for each sub project, by time period.
The borrowing rate for the first time period and the first subproject is, by default, copied to later time periods and other subprojects. You can override the default by entering a discount rate for any time period and subproject.</v>
      </c>
      <c r="AO3" t="s">
        <v>364</v>
      </c>
      <c r="AP3" t="str">
        <f>Labels!B99</f>
        <v>Revenue Annualized Growth</v>
      </c>
      <c r="AQ3" t="s">
        <v>916</v>
      </c>
      <c r="AR3" t="str">
        <f>Labels!E99</f>
        <v>Revenue growth rate in each time period, annualized. Segmented by subproject, product, and time period</v>
      </c>
      <c r="AS3" t="s">
        <v>1045</v>
      </c>
      <c r="AT3" t="str">
        <f>Labels!B51</f>
        <v>Fixed Operating Exp Annualized Growth</v>
      </c>
      <c r="AU3" t="s">
        <v>817</v>
      </c>
      <c r="AV3" t="str">
        <f>Labels!E51</f>
        <v>Rate of growth of fixed operating expenses in each time period, annualized. Segmented by subproject, product, and time period. 'Fixed' means the expense does not vary with revenue or sales units; it can vary with time.</v>
      </c>
      <c r="AW3" t="s">
        <v>243</v>
      </c>
      <c r="AX3" t="str">
        <f>Labels!B101</f>
        <v>Market Risk Premium (Yr)</v>
      </c>
      <c r="AY3" t="s">
        <v>15</v>
      </c>
      <c r="AZ3" t="str">
        <f>Labels!E101</f>
        <v>Annualized risk premium in the capital asset pricing model, by time period</v>
      </c>
      <c r="BA3" t="s">
        <v>1419</v>
      </c>
      <c r="BB3" t="str">
        <f>Labels!B22</f>
        <v>Company Name</v>
      </c>
      <c r="BC3" t="s">
        <v>1177</v>
      </c>
      <c r="BD3" t="str">
        <f>Labels!E22</f>
        <v>Name of the company</v>
      </c>
      <c r="BE3" t="s">
        <v>1346</v>
      </c>
      <c r="BF3" t="str">
        <f>Labels!B109</f>
        <v>Tail Discount Rate (Yr)</v>
      </c>
      <c r="BG3" t="s">
        <v>1029</v>
      </c>
      <c r="BH3" t="str">
        <f>Labels!E109</f>
        <v>Annualized discount rate applied to cash flows that are projected after the end of model time</v>
      </c>
      <c r="BI3" t="s">
        <v>1312</v>
      </c>
      <c r="BJ3" t="str">
        <f>Labels!B115</f>
        <v>Early Growth % (Yr)</v>
      </c>
      <c r="BK3" t="s">
        <v>353</v>
      </c>
      <c r="BL3" t="str">
        <f>Labels!E115</f>
        <v>Annualized rate at which cash flow grows in the early phase after the end of model time
Time after model time is segmented into an early phase and a late phase, to enable you to specify a higher growth rate for the early segment and lower growth for the late segment.</v>
      </c>
    </row>
    <row r="4" spans="1:64" ht="12.75" customHeight="1" x14ac:dyDescent="0.2">
      <c r="A4" t="s">
        <v>76</v>
      </c>
      <c r="B4" t="str">
        <f>Labels!B42</f>
        <v>Discount Rate (Yr)</v>
      </c>
      <c r="C4" t="s">
        <v>1597</v>
      </c>
      <c r="D4" t="str">
        <f>Labels!E42</f>
        <v>Annualized discount rate for computing present values of cash flows. If discount method is "Direct" then use specified numerical input; if discount method is "CAPM" then use the CAPM formula for the discount rate in terms of riskless return, beta, risk premium and debt ratio.</v>
      </c>
      <c r="E4" t="s">
        <v>563</v>
      </c>
      <c r="F4" t="str">
        <f>Labels!B104</f>
        <v>Sales Units</v>
      </c>
      <c r="G4" t="s">
        <v>495</v>
      </c>
      <c r="H4" t="str">
        <f>Labels!E104</f>
        <v>Number of units sold per time period, segmented by subproject, product and time period. Sales for each subproject begin in the time period after investment and continue until the latest end of useful life of any fixed investment.</v>
      </c>
      <c r="I4" t="s">
        <v>645</v>
      </c>
      <c r="J4" t="str">
        <f>Labels!B94</f>
        <v>Average Price</v>
      </c>
      <c r="K4" t="s">
        <v>232</v>
      </c>
      <c r="L4" t="str">
        <f>Labels!E94</f>
        <v>Average selling price of each unit sold, segmented by by subproject, product, and time period</v>
      </c>
      <c r="M4" t="s">
        <v>109</v>
      </c>
      <c r="N4" t="str">
        <f>Labels!B107</f>
        <v>Initial Sales Units</v>
      </c>
      <c r="O4" t="s">
        <v>948</v>
      </c>
      <c r="P4" t="str">
        <f>Labels!E107</f>
        <v>Sales Units in the first time period, segmented by subproject and product</v>
      </c>
      <c r="Q4" t="s">
        <v>975</v>
      </c>
      <c r="R4" t="str">
        <f>Labels!B106</f>
        <v>Sales Units Annualized Growth</v>
      </c>
      <c r="S4" t="s">
        <v>345</v>
      </c>
      <c r="T4" t="str">
        <f>Labels!E106</f>
        <v>Annualized growth rate of sales units in each time period, segmented by subproject and product.</v>
      </c>
      <c r="U4" t="s">
        <v>750</v>
      </c>
      <c r="V4" t="str">
        <f>Labels!B105</f>
        <v>Sales Units Growth %</v>
      </c>
      <c r="W4" t="s">
        <v>739</v>
      </c>
      <c r="X4" t="str">
        <f>Labels!E105</f>
        <v>Annualized revenue growth rate in each time period, segmented by subproject, and product.</v>
      </c>
      <c r="Y4" t="s">
        <v>959</v>
      </c>
      <c r="Z4" t="str">
        <f>Labels!B66</f>
        <v>First Investment Date</v>
      </c>
      <c r="AA4" t="s">
        <v>1052</v>
      </c>
      <c r="AB4" t="str">
        <f>Labels!E66</f>
        <v>Date on which the first fixed investment is made</v>
      </c>
      <c r="AC4" t="s">
        <v>72</v>
      </c>
      <c r="AD4" t="str">
        <f>Labels!B77</f>
        <v>Tax Credit Date</v>
      </c>
      <c r="AE4" t="s">
        <v>825</v>
      </c>
      <c r="AF4" t="str">
        <f>Labels!E77</f>
        <v>Date on which the investment tax credit is paid to the project</v>
      </c>
      <c r="AG4" t="s">
        <v>835</v>
      </c>
      <c r="AH4" t="str">
        <f>Labels!B17</f>
        <v xml:space="preserve">Cash Flow - Fixed Investment </v>
      </c>
      <c r="AI4" t="s">
        <v>218</v>
      </c>
      <c r="AJ4" t="str">
        <f>Labels!E17</f>
        <v>Cash flow from fixed investment including depreciable investment, non-depreciable investment, and residual values. Excludes tax credits and working capital cash flows. Assumes equity (and/or debt) financing. Segmented by subproject.</v>
      </c>
      <c r="AK4" t="s">
        <v>108</v>
      </c>
      <c r="AL4" t="str">
        <f>Labels!B15</f>
        <v>Cash Flow - Equity Fin</v>
      </c>
      <c r="AM4" t="s">
        <v>751</v>
      </c>
      <c r="AN4" t="str">
        <f>Labels!E15</f>
        <v xml:space="preserve">Cash flow in the case of 100% equity financing, during model time. Excludes tail at later times. </v>
      </c>
      <c r="AO4" t="s">
        <v>1294</v>
      </c>
      <c r="AP4" t="str">
        <f>Labels!B38</f>
        <v>Tax Deprec Method</v>
      </c>
      <c r="AQ4" t="s">
        <v>788</v>
      </c>
      <c r="AR4" t="str">
        <f>Labels!E38</f>
        <v>Depreciation method used for computing taxes. It is one of "Linear" "SYD" and "DDB".</v>
      </c>
      <c r="AS4" t="s">
        <v>624</v>
      </c>
      <c r="AT4" t="str">
        <f>Labels!B36</f>
        <v>Depreciation Exp - Taxes</v>
      </c>
      <c r="AU4" t="s">
        <v>1124</v>
      </c>
      <c r="AV4" t="str">
        <f>Labels!E36</f>
        <v>Depreciation of depreciable investment (excluding residual value), using specified depreciation method for tax purposes, segmented by subproject and by time period</v>
      </c>
      <c r="AW4" t="s">
        <v>23</v>
      </c>
      <c r="AX4" t="str">
        <f>Labels!B128</f>
        <v>Max Working Capital</v>
      </c>
      <c r="AY4" t="s">
        <v>1561</v>
      </c>
      <c r="AZ4" t="str">
        <f>Labels!E128</f>
        <v>Maximum working capital over time, segmented by working capital accounts, subproject, and time period. The maximum working capital is computed for each project separately.</v>
      </c>
      <c r="BA4" t="s">
        <v>1327</v>
      </c>
      <c r="BB4" t="str">
        <f>Labels!B28</f>
        <v>DCF - Equity Fin</v>
      </c>
      <c r="BC4" t="s">
        <v>892</v>
      </c>
      <c r="BD4" t="str">
        <f>Labels!E28</f>
        <v>Discounted cash flow in case of 100% equity financing, during model time. Excludes tail at later times.</v>
      </c>
      <c r="BE4" t="s">
        <v>1348</v>
      </c>
      <c r="BF4" t="str">
        <f>Labels!B93</f>
        <v>NPV Equity Financing</v>
      </c>
      <c r="BG4" t="s">
        <v>984</v>
      </c>
      <c r="BH4" t="str">
        <f>Labels!E93</f>
        <v>Net present value of discounted cash flows for the case of 100% equity financing.</v>
      </c>
      <c r="BI4" t="s">
        <v>1463</v>
      </c>
      <c r="BJ4" t="str">
        <f>Labels!B56</f>
        <v>Financing Weights</v>
      </c>
      <c r="BK4" t="s">
        <v>1284</v>
      </c>
      <c r="BL4" t="str">
        <f>Labels!E56</f>
        <v>Weights for types of financing used to finance the project. Segmented by financing types, subprojects, and time period.
If you enter weights for Debt and Lease, the template will default to a weight for Equity that makes the weights add to 100% for each subproject.</v>
      </c>
    </row>
    <row r="5" spans="1:64" ht="12.75" customHeight="1" x14ac:dyDescent="0.2">
      <c r="A5" t="s">
        <v>1149</v>
      </c>
      <c r="B5" t="str">
        <f>Labels!B92</f>
        <v>NPV</v>
      </c>
      <c r="C5" t="s">
        <v>643</v>
      </c>
      <c r="D5" t="str">
        <f>Labels!E92</f>
        <v>NPV of cash flow of the project and subprojects, using blended financing</v>
      </c>
      <c r="E5" t="s">
        <v>1387</v>
      </c>
      <c r="F5" t="str">
        <f>Labels!B14</f>
        <v>Cash Flow</v>
      </c>
      <c r="G5" t="s">
        <v>937</v>
      </c>
      <c r="H5" t="str">
        <f>Labels!E14</f>
        <v>Cash flow of the project and subprojects, using blended financing if applicable.
This is the cash flow to equity holders. The principal components of the cash flow are + revenue - operating expense - gross fixed investments - working capital investments + borrowings - loan payments - lease payments - taxes.</v>
      </c>
      <c r="I5" t="s">
        <v>1567</v>
      </c>
      <c r="J5" t="str">
        <f>Labels!B25</f>
        <v>Discounted Cash Flow</v>
      </c>
      <c r="K5" t="s">
        <v>831</v>
      </c>
      <c r="L5" t="str">
        <f>Labels!E25</f>
        <v>Discounted cash flow of the project and subprojects, using blended financing</v>
      </c>
      <c r="M5" t="s">
        <v>549</v>
      </c>
      <c r="N5" t="str">
        <f>Labels!B82</f>
        <v>IRR Initial Guess (Yr)</v>
      </c>
      <c r="O5" t="s">
        <v>333</v>
      </c>
      <c r="P5" t="str">
        <f>Labels!E82</f>
        <v>Initial guess for annualized internal rate of return on investment using weighted blend of financing types.
The algorithm for computing IRR needs a starting guess.</v>
      </c>
      <c r="Q5" t="s">
        <v>961</v>
      </c>
      <c r="R5" t="str">
        <f>Labels!B84</f>
        <v>IRR (Yr)</v>
      </c>
      <c r="S5" t="s">
        <v>562</v>
      </c>
      <c r="T5" t="str">
        <f>Labels!E84</f>
        <v>Annualized internal rate of return for the project using blended financing, during mdoel time.
Excludes cash flow in the tail after model time.</v>
      </c>
      <c r="U5" t="s">
        <v>78</v>
      </c>
      <c r="V5" t="str">
        <f>Labels!B26</f>
        <v>Cumulative DCF</v>
      </c>
      <c r="W5" t="s">
        <v>476</v>
      </c>
      <c r="X5" t="str">
        <f>Labels!E26</f>
        <v>Cumulative discounted cash flow of the project and subprojects, using blended financing if applicable</v>
      </c>
      <c r="Y5" t="s">
        <v>693</v>
      </c>
      <c r="Z5" t="str">
        <f>Labels!B118</f>
        <v>Tail NPV</v>
      </c>
      <c r="AA5" t="s">
        <v>638</v>
      </c>
      <c r="AB5" t="str">
        <f>Labels!E118</f>
        <v>Present value at start of model time of cash flows that occur after the end of model time. Cash flows after model time are projected from cash flows (that assume blending financing) in the last period of model time and user-specified growth rates.</v>
      </c>
      <c r="AC5" t="s">
        <v>701</v>
      </c>
      <c r="AD5" t="str">
        <f>Labels!B67</f>
        <v>Fixed Investment</v>
      </c>
      <c r="AE5" t="s">
        <v>1414</v>
      </c>
      <c r="AF5" t="str">
        <f>Labels!E67</f>
        <v>Fixed depreciable and non-depreciable investment, segmented by subproject, before subtracting investment tax credit. The model assumes you must finance only net investment.</v>
      </c>
      <c r="AG5" t="s">
        <v>41</v>
      </c>
      <c r="AH5" t="str">
        <f>Labels!B69</f>
        <v>Residual Value</v>
      </c>
      <c r="AI5" t="s">
        <v>1325</v>
      </c>
      <c r="AJ5" t="str">
        <f>Labels!E69</f>
        <v>The residual value of depreciable investment at the end of the project, segmented by subproject. 
The residual value of non-depreciable investments defaults to the initial value, and you can override this default to reflect changes in market value of land.</v>
      </c>
      <c r="AK5" t="s">
        <v>101</v>
      </c>
      <c r="AL5" t="str">
        <f>Labels!B55</f>
        <v>Financial Exp &amp; Tax</v>
      </c>
      <c r="AM5" t="s">
        <v>334</v>
      </c>
      <c r="AN5" t="str">
        <f>Labels!E55</f>
        <v>Financial and tax expense, segmented by type of expense (such as interest, lease expense, income tax), and by sub-project and time period</v>
      </c>
      <c r="AO5" t="s">
        <v>1223</v>
      </c>
      <c r="AP5" t="str">
        <f>Labels!B90</f>
        <v>Net Income</v>
      </c>
      <c r="AQ5" t="s">
        <v>8</v>
      </c>
      <c r="AR5" t="str">
        <f>Labels!E90</f>
        <v>Net income is EBITDA (revenue less operating expense), less depreciation and amortization (which yields EBIT), less interest expense, lease costs, and income tax.</v>
      </c>
      <c r="AS5" t="s">
        <v>437</v>
      </c>
      <c r="AT5" t="str">
        <f>Labels!B27</f>
        <v>Cum DCF</v>
      </c>
      <c r="AU5" t="s">
        <v>1101</v>
      </c>
      <c r="AV5" t="str">
        <f>Labels!E27</f>
        <v>Cumulative discounted cash flow of the project and subprojects, using blended financing if applicable.
Used only for plot support.</v>
      </c>
      <c r="AW5" t="s">
        <v>1311</v>
      </c>
      <c r="AX5" t="str">
        <f>Labels!B29</f>
        <v>DCF</v>
      </c>
      <c r="AY5" t="s">
        <v>1200</v>
      </c>
      <c r="AZ5" t="str">
        <f>Labels!E29</f>
        <v>Discounted cash flow of the project and subprojects, using blended financing if applicable.
Used only for plot support.</v>
      </c>
      <c r="BA5" t="s">
        <v>608</v>
      </c>
      <c r="BB5" t="str">
        <f>Labels!B8</f>
        <v>Book Value (End)</v>
      </c>
      <c r="BC5" t="s">
        <v>1159</v>
      </c>
      <c r="BD5" t="str">
        <f>Labels!E8</f>
        <v>Book value of the investment project at the end of each time period. The model does not include cash withdrawals from the business, so book value can be positive after operations have ceased.
Used only for plot support.</v>
      </c>
      <c r="BE5" t="s">
        <v>408</v>
      </c>
      <c r="BF5" t="str">
        <f>Labels!B125</f>
        <v>Valuation</v>
      </c>
      <c r="BG5" t="s">
        <v>917</v>
      </c>
      <c r="BH5" t="str">
        <f>Labels!E125</f>
        <v>Valuation of the investment in each time period, as present value of total cash flow including tail value, using blended financing if applicable
Used only for plot support.</v>
      </c>
      <c r="BI5" t="s">
        <v>411</v>
      </c>
      <c r="BJ5" t="str">
        <f>Labels!B48</f>
        <v>EBITDA</v>
      </c>
      <c r="BK5" t="s">
        <v>1560</v>
      </c>
      <c r="BL5" t="str">
        <f>Labels!E48</f>
        <v>Earnings before interest, income taxes, depreciation, and amortization. Computed as revenue less operating expenses, segmented by subproject and by time period. Covers model time, excludes tail after model time.
Used only for plot support.</v>
      </c>
    </row>
    <row r="6" spans="1:64" ht="12.75" customHeight="1" x14ac:dyDescent="0.2">
      <c r="A6" t="s">
        <v>1205</v>
      </c>
      <c r="B6" t="str">
        <f>Labels!B91</f>
        <v>Net income</v>
      </c>
      <c r="C6" t="s">
        <v>484</v>
      </c>
      <c r="D6" t="str">
        <f>Labels!E91</f>
        <v>Net income after operations expense, interest expense, depreciation, lease costs and income tax.
Used only for plot support.</v>
      </c>
      <c r="E6" t="s">
        <v>241</v>
      </c>
      <c r="F6" t="str">
        <f>Labels!B20</f>
        <v>Cash Flow</v>
      </c>
      <c r="G6" t="s">
        <v>908</v>
      </c>
      <c r="H6" t="str">
        <f>Labels!E20</f>
        <v>Cash flow of the project and subprojects, using blended financing if applicable. 
Used only for plot support.</v>
      </c>
      <c r="I6" t="s">
        <v>921</v>
      </c>
      <c r="J6" t="str">
        <f>Labels!B89</f>
        <v>Leasing Rate (Yr)</v>
      </c>
      <c r="K6" t="s">
        <v>620</v>
      </c>
      <c r="L6" t="str">
        <f>Labels!E89</f>
        <v>Effective annual interest rate at which lease financing can be obtained for each subproject, by time period. This rate is used to estimate lease payments based on the value of assets leased. The lease rate is assumed to be based on asset value net of investment tax credit.
Specifying lease payments in this way enables you to alter the value of leased assets and the lease payment adjusts in a reasonable way. It also enables you to compare effective financing rates for debt and leases.
The lease rate for the first time period and the first subproject is, by default, copied to later time periods and other subprojects. You can override the default by entering a discount rate for any time period and subproject.</v>
      </c>
      <c r="M6" t="s">
        <v>1032</v>
      </c>
      <c r="N6" t="str">
        <f>Labels!B88</f>
        <v>Leasing Rate</v>
      </c>
      <c r="O6" t="s">
        <v>733</v>
      </c>
      <c r="P6" t="str">
        <f>Labels!E88</f>
        <v>Effective interest rate per time period at which lease financing can be obtained for this investment project.</v>
      </c>
      <c r="Q6" t="s">
        <v>1237</v>
      </c>
      <c r="R6" t="str">
        <f>Labels!B83</f>
        <v>IRR Initial Guess (Yr)</v>
      </c>
      <c r="S6" t="s">
        <v>962</v>
      </c>
      <c r="T6" t="str">
        <f>Labels!E83</f>
        <v>Initial guess for annualized internal rate of return on investment, in the case of all-equity financing. 
The algorithm for computing IRR needs a starting guess.</v>
      </c>
      <c r="U6" t="s">
        <v>528</v>
      </c>
      <c r="V6" t="str">
        <f>Labels!B85</f>
        <v>IRR (Yr)</v>
      </c>
      <c r="W6" t="s">
        <v>1261</v>
      </c>
      <c r="X6" t="str">
        <f>Labels!E85</f>
        <v>Annualized internal rate of return for the project using equity financing, during model time. Excludes cash flow in the tail after model time.</v>
      </c>
      <c r="Y6" t="s">
        <v>617</v>
      </c>
      <c r="Z6" t="str">
        <f>Labels!B57</f>
        <v>Financing Weights</v>
      </c>
      <c r="AA6" t="s">
        <v>63</v>
      </c>
      <c r="AB6" t="str">
        <f>Labels!E57</f>
        <v>Weights for types of financing used to finance the project. Segmented by financing types, subprojects, and time period. This variable is used in models that have financing scenarios.
If you enter weights for Debt and Lease, the template will default to a weight for Equity that makes the weights add to 100% for each subproject.</v>
      </c>
      <c r="AC6" t="s">
        <v>923</v>
      </c>
      <c r="AD6" t="str">
        <f>Labels!B59</f>
        <v>Financing Scenario</v>
      </c>
      <c r="AE6" t="s">
        <v>250</v>
      </c>
      <c r="AF6" t="str">
        <f>Labels!E59</f>
        <v>Indicates which financing scenario is being used in the model currently. To change to a different scenario, enter a whole number thta represents the scenario you want to use in the model.</v>
      </c>
      <c r="AG6" t="s">
        <v>893</v>
      </c>
      <c r="AH6" t="str">
        <f>Labels!B111</f>
        <v>Tail Future Value</v>
      </c>
      <c r="AI6" t="s">
        <v>632</v>
      </c>
      <c r="AJ6" t="str">
        <f>Labels!E111</f>
        <v>Value of cash flows that occur after the end of model time, discounted to the end of model time. Based on equity financing and cash flow in the last period of model time.</v>
      </c>
      <c r="AK6" t="s">
        <v>818</v>
      </c>
      <c r="AL6" t="str">
        <f>Labels!B124</f>
        <v>Valuation</v>
      </c>
      <c r="AM6" t="s">
        <v>230</v>
      </c>
      <c r="AN6" t="str">
        <f>Labels!E124</f>
        <v>Valuation of the investment in each time period, as present value of cash flow including tail value, using equity financing</v>
      </c>
      <c r="AO6" t="s">
        <v>151</v>
      </c>
      <c r="AP6" t="str">
        <f>Labels!B119</f>
        <v>Tail NPV</v>
      </c>
      <c r="AQ6" t="s">
        <v>398</v>
      </c>
      <c r="AR6" t="str">
        <f>Labels!E119</f>
        <v>Present value at start of model time of cash flows that occur after the end of model time. Cash flows after model time are projected from cash flows (that assume equity-only financing) in the last period of model time and user-specified growth rates.</v>
      </c>
      <c r="AS6" t="s">
        <v>50</v>
      </c>
      <c r="AT6" t="str">
        <f>Labels!B16</f>
        <v>Cash Flow - Fixed Invest</v>
      </c>
      <c r="AU6" t="s">
        <v>113</v>
      </c>
      <c r="AV6" t="str">
        <f>Labels!E16</f>
        <v>Cash flow from fixed investment including purchase and salvage, but not depreciation or tax credits. Includes depreciable and non-depreciable investment. Assumes equity financing. Segmented by subproject, investment, and time period.</v>
      </c>
      <c r="AW6" t="s">
        <v>1323</v>
      </c>
      <c r="AX6" t="str">
        <f>Labels!B7</f>
        <v>Book Value</v>
      </c>
      <c r="AY6" t="s">
        <v>531</v>
      </c>
      <c r="AZ6" t="str">
        <f>Labels!E7</f>
        <v>Book value of the investment project at the end of each time period, equal to the book value of fixed assets plus working capital</v>
      </c>
      <c r="BA6" t="s">
        <v>839</v>
      </c>
      <c r="BB6" t="str">
        <f>Labels!B65</f>
        <v>Investment Date</v>
      </c>
      <c r="BC6" t="s">
        <v>1243</v>
      </c>
      <c r="BD6" t="str">
        <f>Labels!E65</f>
        <v>Date on which each fixed investment is made</v>
      </c>
      <c r="BE6" t="s">
        <v>1297</v>
      </c>
      <c r="BF6" t="str">
        <f>Labels!B72</f>
        <v>Deprec Life (Yr)</v>
      </c>
      <c r="BG6" t="s">
        <v>31</v>
      </c>
      <c r="BH6" t="str">
        <f>Labels!E72</f>
        <v>Depreciation life of each investment, expressed in years. Values should be multiples of the time grain. At the end of depreciation life, depreciation stops. The asset remains available for use until the end of physical life, at which time the salvage value of the asset is realized.</v>
      </c>
      <c r="BI6" t="s">
        <v>1608</v>
      </c>
      <c r="BJ6" t="str">
        <f>Labels!B19</f>
        <v>IInvestment Tax Credit</v>
      </c>
      <c r="BK6" t="s">
        <v>1185</v>
      </c>
      <c r="BL6" t="str">
        <f>Labels!E19</f>
        <v xml:space="preserve">Investment tax credit for investment in each subproject, regardless of whether the company being analyzed gets the credit. For example, if the company being analyzed leases equipment, it does not get the investment tax credit. </v>
      </c>
    </row>
    <row r="7" spans="1:64" ht="12.75" customHeight="1" x14ac:dyDescent="0.2">
      <c r="A7" t="s">
        <v>1154</v>
      </c>
      <c r="B7" t="str">
        <f>Labels!B75</f>
        <v>Name</v>
      </c>
      <c r="C7" t="s">
        <v>1482</v>
      </c>
      <c r="D7">
        <f>Labels!E75</f>
        <v>0</v>
      </c>
      <c r="E7" t="s">
        <v>1241</v>
      </c>
      <c r="F7" t="str">
        <f>Labels!B9</f>
        <v>Book Value Fixed Invest</v>
      </c>
      <c r="G7" t="s">
        <v>829</v>
      </c>
      <c r="H7" t="str">
        <f>Labels!E9</f>
        <v>Book value of the fixed investment at the end of each time period, for each investment in each subproject</v>
      </c>
      <c r="I7" t="s">
        <v>1324</v>
      </c>
      <c r="J7" t="str">
        <f>Labels!B34</f>
        <v>Depreciation</v>
      </c>
      <c r="K7" t="s">
        <v>1611</v>
      </c>
      <c r="L7" t="str">
        <f>Labels!E34</f>
        <v>Depreciation of depreciable investment (excluding salvage value), using specified depreciation method, segmented by subproject and by time period. Assets that are leased have no depreciation expense in the model.</v>
      </c>
      <c r="M7" t="s">
        <v>312</v>
      </c>
      <c r="N7" t="str">
        <f>Labels!B74</f>
        <v>Physical Life (Yr)</v>
      </c>
      <c r="O7" t="s">
        <v>801</v>
      </c>
      <c r="P7" t="str">
        <f>Labels!E74</f>
        <v>Physical life of the depreciable asset, expressed in years. Values should be multiples of the time grain. At the end of physical life, salvage value of assets is realized, and he asset is no longer available.</v>
      </c>
      <c r="Q7" t="s">
        <v>1334</v>
      </c>
      <c r="R7" t="str">
        <f>Labels!B31</f>
        <v>Debt Interest Payments</v>
      </c>
      <c r="S7" t="s">
        <v>415</v>
      </c>
      <c r="T7" t="str">
        <f>Labels!E31</f>
        <v>Interest payments for debt financing. Segmented by investment and time period. Excludes payments after the end of model time. A balloon payment at the end of debt term is treated as an additional interest payment.</v>
      </c>
      <c r="U7" t="s">
        <v>375</v>
      </c>
      <c r="V7" t="str">
        <f>Labels!B33</f>
        <v>Change Debt Principal</v>
      </c>
      <c r="W7" t="s">
        <v>1549</v>
      </c>
      <c r="X7" t="str">
        <f>Labels!E33</f>
        <v>Change in debt principal. Includes borrowing (+) and principal repayments (-). Segmented by investment and time period. Excludes payments after the end of model time.</v>
      </c>
      <c r="Y7" t="s">
        <v>1125</v>
      </c>
      <c r="Z7" t="str">
        <f>Labels!B86</f>
        <v>Lease Balloon Payment</v>
      </c>
      <c r="AA7" t="s">
        <v>110</v>
      </c>
      <c r="AB7" t="str">
        <f>Labels!E86</f>
        <v xml:space="preserve">Balloon payment due at end of term for lease financing. It is reduced by the percentage of lease financing for each asset. Segmented by investments in each Subproject. </v>
      </c>
      <c r="AC7" t="s">
        <v>515</v>
      </c>
      <c r="AD7" t="str">
        <f>Labels!B87</f>
        <v>Lease Payments</v>
      </c>
      <c r="AE7" t="s">
        <v>1285</v>
      </c>
      <c r="AF7" t="str">
        <f>Labels!E87</f>
        <v>Lease payments for lease financing. Segmented by sub-project, investment, and time period. Includes balloon payments at the end of the lease term. Excludes cash flow in the 'tail' after the end of model time. 
You should adjust the effective annual lease rate to get the payment you want in the analysis. The payment is computed as a percentage of net investment (net of assumed investment tax credit, which the lessor receives).</v>
      </c>
      <c r="AG7" t="s">
        <v>1007</v>
      </c>
      <c r="AH7" t="str">
        <f>Labels!B114</f>
        <v>Tail Early Growth Rate</v>
      </c>
      <c r="AI7" t="s">
        <v>27</v>
      </c>
      <c r="AJ7" t="str">
        <f>Labels!E114</f>
        <v>The rate at which cash flow grows in the early phase after the end of model time.
Time after model time is segmented into an early phase and a late phase, to enable you to specify a higher growth rate for the early segment and lower growth for the late segment.</v>
      </c>
      <c r="AK7" t="s">
        <v>599</v>
      </c>
      <c r="AL7" t="str">
        <f>Labels!B120</f>
        <v>Tail Early Time (Yr)</v>
      </c>
      <c r="AM7" t="s">
        <v>1433</v>
      </c>
      <c r="AN7" t="str">
        <f>Labels!E120</f>
        <v>duration of the early phase of the time after model time, expressed in years.
Time after model time is segmented into an early phase and a late phase, to enable you to specify a higher growth rate for the early segment and lower growth for the late segment.</v>
      </c>
      <c r="AO7" t="s">
        <v>1459</v>
      </c>
      <c r="AP7" t="str">
        <f>Labels!B117</f>
        <v>Late Growth % (Yr)</v>
      </c>
      <c r="AQ7" t="s">
        <v>781</v>
      </c>
      <c r="AR7" t="str">
        <f>Labels!E117</f>
        <v>Annualized rate at which cash flow grows in the late phase of time after the end of model time. This growth rate should be LESS THAN the discount rate in the tail time.
Time after model time is segmented into an early phase and a late phase, to enable you to specify a higher growth rate for the early segment and lower growth for the late segment.</v>
      </c>
      <c r="AS7" t="s">
        <v>803</v>
      </c>
      <c r="AT7" t="str">
        <f>Labels!B110</f>
        <v>Tail Future Value</v>
      </c>
      <c r="AU7" t="s">
        <v>517</v>
      </c>
      <c r="AV7" t="str">
        <f>Labels!E110</f>
        <v>Value of cash flows from blended financing that occur after the end of model time, discounted to the end of model time. Based on equity financing and cash flow in the last period of model time.</v>
      </c>
      <c r="AW7" t="s">
        <v>1001</v>
      </c>
      <c r="AX7" t="str">
        <f>Labels!B126</f>
        <v>Working Capital Amort</v>
      </c>
      <c r="AY7" t="s">
        <v>177</v>
      </c>
      <c r="AZ7" t="str">
        <f>Labels!E126</f>
        <v>Portion of working capital that is written off at the end of project life. It is treated as an amortization expense, so it is deducted from EBIT, but not from EBITDA.</v>
      </c>
      <c r="BA7" t="s">
        <v>1376</v>
      </c>
      <c r="BB7" t="str">
        <f>Labels!B60</f>
        <v>Income Tax</v>
      </c>
      <c r="BC7" t="s">
        <v>1373</v>
      </c>
      <c r="BD7" t="str">
        <f>Labels!E60</f>
        <v>Income tax expense, segmented by sub-project and time period</v>
      </c>
      <c r="BE7" t="s">
        <v>1614</v>
      </c>
      <c r="BF7" t="str">
        <f>Labels!B78</f>
        <v>Investment Tax Credit</v>
      </c>
      <c r="BG7" t="s">
        <v>1581</v>
      </c>
      <c r="BH7" t="str">
        <f>Labels!E78</f>
        <v>Investment tax credit, segmented by subproject. Applies only to depreciable investment. This value assumes the company can take the entire investment tax credit for all assets, so it uses no lease financing.</v>
      </c>
      <c r="BI7" t="s">
        <v>1381</v>
      </c>
      <c r="BJ7" t="str">
        <f>Labels!B18</f>
        <v>IInvestment Tax Credit</v>
      </c>
      <c r="BK7" t="s">
        <v>1337</v>
      </c>
      <c r="BL7" t="str">
        <f>Labels!E18</f>
        <v>Investment tax credit for investment in each subproject, for equity and debt financing (excluding leased assets)</v>
      </c>
    </row>
    <row r="8" spans="1:64" ht="12.75" customHeight="1" x14ac:dyDescent="0.2">
      <c r="A8" t="s">
        <v>828</v>
      </c>
      <c r="B8" t="str">
        <f>Labels!B46</f>
        <v>EBIT</v>
      </c>
      <c r="C8" t="s">
        <v>697</v>
      </c>
      <c r="D8" t="str">
        <f>Labels!E46</f>
        <v>Earnings before interest and taxes for an all-equity financed project</v>
      </c>
      <c r="E8" t="s">
        <v>262</v>
      </c>
      <c r="F8" t="str">
        <f>Labels!B30</f>
        <v>Debt Balloon Payment</v>
      </c>
      <c r="G8" t="s">
        <v>264</v>
      </c>
      <c r="H8" t="str">
        <f>Labels!E30</f>
        <v xml:space="preserve">Balloon payment due at end of term for 100% debt financing. It is reduced by the percentage of debt financing for each asset. This payment is treated as an additional interest payment. Segmented by investments in each Subproject. </v>
      </c>
      <c r="I8" t="s">
        <v>325</v>
      </c>
      <c r="J8" t="str">
        <f>Labels!B32</f>
        <v>Debt Principal</v>
      </c>
      <c r="K8" t="s">
        <v>255</v>
      </c>
      <c r="L8" t="str">
        <f>Labels!E32</f>
        <v>Outstanding debt principal, at the end of each time period</v>
      </c>
      <c r="M8" t="s">
        <v>1230</v>
      </c>
      <c r="N8" t="str">
        <f>Labels!B73</f>
        <v>Physical Life (periods)</v>
      </c>
      <c r="O8" t="s">
        <v>381</v>
      </c>
      <c r="P8" t="str">
        <f>Labels!E73</f>
        <v>Physical life of the depreciable asset, expressed in years. Values should be multiples of the time grain. At the end of physical life, salvage value of assets is realized, and he asset is no longer available.</v>
      </c>
      <c r="Q8" t="s">
        <v>52</v>
      </c>
      <c r="R8" t="str">
        <f>Labels!B71</f>
        <v>Invest Depr Life (periods)</v>
      </c>
      <c r="S8" t="s">
        <v>536</v>
      </c>
      <c r="T8" t="str">
        <f>Labels!E71</f>
        <v>Variable that counts how many time periods have passed during the depreciation life of each investment. The count starts with the first full time period after the investment.</v>
      </c>
      <c r="U8" t="s">
        <v>501</v>
      </c>
      <c r="V8" t="str">
        <f>Labels!B64</f>
        <v>Invest Physical Time (period)</v>
      </c>
      <c r="W8" t="s">
        <v>1485</v>
      </c>
      <c r="X8" t="str">
        <f>Labels!E64</f>
        <v>Variable that counts how many time periods have passed during the useful life of each investment. The count starts with the first full time period after the investment.</v>
      </c>
      <c r="Y8" t="s">
        <v>771</v>
      </c>
      <c r="Z8" t="str">
        <f>Labels!B80</f>
        <v>Invest Time (periods)</v>
      </c>
      <c r="AA8" t="s">
        <v>671</v>
      </c>
      <c r="AB8" t="str">
        <f>Labels!E80</f>
        <v>Counts how many time periods have passed during the depreciation life of each investment. The count starts with the first full time period after the investment.
The rollup over investments per subproject indicate (with 1's) the full time range of each subproject.</v>
      </c>
      <c r="AC8" t="s">
        <v>905</v>
      </c>
      <c r="AD8" t="str">
        <f>Labels!B63</f>
        <v>Invest Deprec Time (period)</v>
      </c>
      <c r="AE8" t="s">
        <v>676</v>
      </c>
      <c r="AF8" t="str">
        <f>Labels!E63</f>
        <v>Variable that counts how many time periods have passed during the useful life of each investment. The count starts with the first full time period after the investment.</v>
      </c>
      <c r="AG8" t="s">
        <v>783</v>
      </c>
      <c r="AH8" t="str">
        <f>Labels!B81</f>
        <v>Invest Time (periods)</v>
      </c>
      <c r="AI8" t="s">
        <v>769</v>
      </c>
      <c r="AJ8" t="str">
        <f>Labels!E81</f>
        <v>Counts how many time periods have passed during the useful life of each investment. The count starts with the first full time period after the investment.
The rollup over investments per subproject indicate (with 1's) the envelope of useful time ranges of fixed investments in each subproject.</v>
      </c>
      <c r="AK8" t="s">
        <v>1206</v>
      </c>
      <c r="AL8" t="str">
        <f>Labels!B113</f>
        <v>Tail Late FV Factor</v>
      </c>
      <c r="AM8" t="s">
        <v>646</v>
      </c>
      <c r="AN8" t="str">
        <f>Labels!E113</f>
        <v>Factor that multiples last value of cash flow in model time to yield future value of cash flows that occur in the late phase of the time after the end of model time, discounted to the end of model time. 
Derviation of present value:
A = First term = Last(Cash_Flow) * (1+Tail_Growth_Rate_Early_Yr)^Tail_Time_Early_Yr * (1+Tail_Growth_Rate_Late)
N = Number of terms = periods_per("year") * Tail_Time_Later_Yr
gr = geometric factor =(1+growth) / (1+r)
Term in period n is: A * gr^(n-1), for n = 0, ... N-1
Then sum of first N terms is: A * (1-gr^N) / (1-gr) = A * (1+r) * (1-((1+g)/(1+r))^N) / (r-g)
As N becomes indefinitely large, this becomes A * (1+r) / (r-g)
Discounting forward from end of the early tail to the end of model time is accomplished by a factor 1 / (1+r)^N[early]</v>
      </c>
      <c r="AO8" t="s">
        <v>74</v>
      </c>
      <c r="AP8" t="str">
        <f>Labels!B112</f>
        <v>Tail Early FV Factor</v>
      </c>
      <c r="AQ8" t="s">
        <v>1103</v>
      </c>
      <c r="AR8" t="str">
        <f>Labels!E112</f>
        <v>Factor that multiples last value of cash flow in model time to yield future value of cash flows that occur in the early phase of the time after the end of model time, discounted to the end of model time. 
Derviation of present value:
A = First term = Last(Cash_Flow) * (1+Tail_Growth_Rate_Early)
N = Number of terms = periods_per("year") * Tail_Time_Early_Yr
gr = geometric factor = (1+growth) / (1+r)
Term in period n is: A * gr^(n-1), for n = 0, ... N-1
Then sum of first N terms is: A *(1-gr^N) / (1-gr) = A * (1+r) * (1-((1+g) / (1+r))^N) / (r-g)
As N becomes indefinitely large, this becomes A * (1+r) / (r-g)</v>
      </c>
      <c r="AS8" t="s">
        <v>833</v>
      </c>
      <c r="AT8" t="str">
        <f>Labels!B23</f>
        <v>End Date</v>
      </c>
      <c r="AU8" t="s">
        <v>753</v>
      </c>
      <c r="AV8" t="str">
        <f>Labels!E23</f>
        <v>Contains start dates for time periods that can extend outside of model time</v>
      </c>
      <c r="AW8" t="s">
        <v>1452</v>
      </c>
      <c r="AX8" t="str">
        <f>Labels!B121</f>
        <v>Long Time (period)</v>
      </c>
      <c r="AY8" t="s">
        <v>1336</v>
      </c>
      <c r="AZ8" t="str">
        <f>Labels!E121</f>
        <v>Enumerates time periods in longer time than model time at both ends.</v>
      </c>
      <c r="BA8" t="s">
        <v>156</v>
      </c>
      <c r="BB8" t="str">
        <f>Labels!B24</f>
        <v>Start Date</v>
      </c>
      <c r="BC8" t="s">
        <v>900</v>
      </c>
      <c r="BD8" t="str">
        <f>Labels!E24</f>
        <v>Contains start dates for time periods that can extend outside of model time</v>
      </c>
      <c r="BE8" t="s">
        <v>1240</v>
      </c>
      <c r="BF8" t="str">
        <f>Labels!E181</f>
        <v>List of sub-projects that have separate financial models</v>
      </c>
      <c r="BG8" t="s">
        <v>1220</v>
      </c>
      <c r="BH8" t="str">
        <f>Labels!B181</f>
        <v>Subprojects</v>
      </c>
      <c r="BI8" t="s">
        <v>21</v>
      </c>
      <c r="BJ8" t="str">
        <f>Labels!D181</f>
        <v>Subproject</v>
      </c>
      <c r="BK8" t="s">
        <v>702</v>
      </c>
      <c r="BL8" t="str">
        <f>Labels!C181</f>
        <v>Total</v>
      </c>
    </row>
    <row r="9" spans="1:64" ht="12.75" customHeight="1" x14ac:dyDescent="0.2">
      <c r="A9" t="s">
        <v>1437</v>
      </c>
      <c r="B9" t="str">
        <f>Labels!B182</f>
        <v>Catamarans</v>
      </c>
      <c r="C9" t="s">
        <v>148</v>
      </c>
      <c r="D9" t="str">
        <f>Labels!D182</f>
        <v>SubProject</v>
      </c>
      <c r="E9" t="s">
        <v>296</v>
      </c>
      <c r="F9" t="str">
        <f>Labels!B183</f>
        <v>Canoes</v>
      </c>
      <c r="G9" t="s">
        <v>1090</v>
      </c>
      <c r="H9" t="str">
        <f>Labels!E185</f>
        <v>A list of variable expense accounts</v>
      </c>
      <c r="I9" t="s">
        <v>1532</v>
      </c>
      <c r="J9" t="str">
        <f>Labels!B185</f>
        <v>Var Expense Accts</v>
      </c>
      <c r="K9" t="s">
        <v>1138</v>
      </c>
      <c r="L9" t="str">
        <f>Labels!D185</f>
        <v>Var_Expense_Accts</v>
      </c>
      <c r="M9" t="s">
        <v>1556</v>
      </c>
      <c r="N9" t="str">
        <f>Labels!C185</f>
        <v>Total</v>
      </c>
      <c r="O9" t="s">
        <v>1461</v>
      </c>
      <c r="P9" t="str">
        <f>Labels!B186</f>
        <v>Fuel</v>
      </c>
      <c r="Q9" t="s">
        <v>990</v>
      </c>
      <c r="R9" t="str">
        <f>Labels!D186</f>
        <v>Expense_Accts</v>
      </c>
      <c r="S9" t="s">
        <v>644</v>
      </c>
      <c r="T9" t="str">
        <f>Labels!B187</f>
        <v>Maintenance</v>
      </c>
      <c r="U9" t="s">
        <v>474</v>
      </c>
      <c r="V9" t="str">
        <f>Labels!E161</f>
        <v>Accounts for kinds of fixed expenses</v>
      </c>
      <c r="W9" t="s">
        <v>1020</v>
      </c>
      <c r="X9" t="str">
        <f>Labels!B161</f>
        <v>Fixed Expense Accts</v>
      </c>
      <c r="Y9" t="s">
        <v>1027</v>
      </c>
      <c r="Z9" t="str">
        <f>Labels!D161</f>
        <v>Fixed_Expense_Accts</v>
      </c>
      <c r="AA9" t="s">
        <v>1450</v>
      </c>
      <c r="AB9" t="str">
        <f>Labels!C161</f>
        <v>Total</v>
      </c>
      <c r="AC9" t="s">
        <v>56</v>
      </c>
      <c r="AD9" t="str">
        <f>Labels!B162</f>
        <v>Computers</v>
      </c>
      <c r="AE9" t="s">
        <v>207</v>
      </c>
      <c r="AF9" t="str">
        <f>Labels!D162</f>
        <v>Fixed_Expense_Accts</v>
      </c>
      <c r="AG9" t="s">
        <v>538</v>
      </c>
      <c r="AH9" t="str">
        <f>Labels!B163</f>
        <v>Vehicles</v>
      </c>
      <c r="AI9" t="s">
        <v>1142</v>
      </c>
      <c r="AJ9" t="str">
        <f>Labels!E189</f>
        <v>A list of working capitat accounts</v>
      </c>
      <c r="AK9" t="s">
        <v>1247</v>
      </c>
      <c r="AL9" t="str">
        <f>Labels!B189</f>
        <v>Working Cap Accts</v>
      </c>
      <c r="AM9" t="s">
        <v>699</v>
      </c>
      <c r="AN9" t="str">
        <f>Labels!D189</f>
        <v>Working_Cap_Accts</v>
      </c>
      <c r="AO9" t="s">
        <v>578</v>
      </c>
      <c r="AP9" t="str">
        <f>Labels!C189</f>
        <v>Total</v>
      </c>
      <c r="AQ9" t="s">
        <v>1221</v>
      </c>
      <c r="AR9" t="str">
        <f>Labels!B190</f>
        <v>Receivables</v>
      </c>
      <c r="AS9" t="s">
        <v>1208</v>
      </c>
      <c r="AT9" t="str">
        <f>Labels!D190</f>
        <v>Working_Cap_Accts</v>
      </c>
      <c r="AU9" t="s">
        <v>958</v>
      </c>
      <c r="AV9" t="str">
        <f>Labels!B191</f>
        <v>Supplies inventory</v>
      </c>
      <c r="AW9" t="s">
        <v>273</v>
      </c>
      <c r="AX9" t="str">
        <f>Labels!E165</f>
        <v>Components of fixed investment</v>
      </c>
      <c r="AY9" t="s">
        <v>226</v>
      </c>
      <c r="AZ9" t="str">
        <f>Labels!B165</f>
        <v>Invest Fixed</v>
      </c>
      <c r="BA9" t="s">
        <v>1460</v>
      </c>
      <c r="BB9" t="str">
        <f>Labels!D165</f>
        <v>Invest_Fixed</v>
      </c>
      <c r="BC9" t="s">
        <v>1317</v>
      </c>
      <c r="BD9" t="str">
        <f>Labels!C165</f>
        <v>Total</v>
      </c>
      <c r="BE9" t="s">
        <v>744</v>
      </c>
      <c r="BF9" t="str">
        <f>Labels!B166</f>
        <v>Depreciable</v>
      </c>
      <c r="BG9" t="s">
        <v>146</v>
      </c>
      <c r="BH9" t="str">
        <f>Labels!D166</f>
        <v>Invest_Comp</v>
      </c>
      <c r="BI9" t="s">
        <v>1003</v>
      </c>
      <c r="BJ9" t="str">
        <f>Labels!B167</f>
        <v>Non-Deprec</v>
      </c>
      <c r="BK9" t="s">
        <v>470</v>
      </c>
      <c r="BL9" t="str">
        <f>Labels!E144</f>
        <v>A list of the components of cash flow for equity financing.</v>
      </c>
    </row>
    <row r="10" spans="1:64" ht="12.75" customHeight="1" x14ac:dyDescent="0.2">
      <c r="A10" t="s">
        <v>731</v>
      </c>
      <c r="B10" t="str">
        <f>Labels!B144</f>
        <v>CF Equity Fin</v>
      </c>
      <c r="C10" t="s">
        <v>478</v>
      </c>
      <c r="D10" t="str">
        <f>Labels!D144</f>
        <v>CF_Equity_Fin</v>
      </c>
      <c r="E10" t="s">
        <v>1345</v>
      </c>
      <c r="F10" t="str">
        <f>Labels!C144</f>
        <v>Total</v>
      </c>
      <c r="G10" t="s">
        <v>812</v>
      </c>
      <c r="H10" t="str">
        <f>Labels!B145</f>
        <v>EBITDA</v>
      </c>
      <c r="I10" t="s">
        <v>706</v>
      </c>
      <c r="J10" t="str">
        <f>Labels!D145</f>
        <v>CF_Equity_Fin</v>
      </c>
      <c r="K10" t="s">
        <v>1582</v>
      </c>
      <c r="L10" t="str">
        <f>Labels!B146</f>
        <v>Fixed Invest</v>
      </c>
      <c r="M10" t="s">
        <v>601</v>
      </c>
      <c r="N10" t="str">
        <f>Labels!B147</f>
        <v>Inv Tax Credit</v>
      </c>
      <c r="O10" t="s">
        <v>1212</v>
      </c>
      <c r="P10" t="str">
        <f>Labels!B148</f>
        <v>Working Cap</v>
      </c>
      <c r="Q10" t="s">
        <v>1235</v>
      </c>
      <c r="R10" t="str">
        <f>Labels!B149</f>
        <v>Income Tax</v>
      </c>
      <c r="S10" t="s">
        <v>38</v>
      </c>
      <c r="T10" t="str">
        <f>Labels!E156</f>
        <v>Types of financing that can be used, if blended financing is turned on</v>
      </c>
      <c r="U10" t="s">
        <v>1592</v>
      </c>
      <c r="V10" t="str">
        <f>Labels!B156</f>
        <v>FinTypes</v>
      </c>
      <c r="W10" t="s">
        <v>866</v>
      </c>
      <c r="X10" t="str">
        <f>Labels!D156</f>
        <v>Fin Types</v>
      </c>
      <c r="Y10" t="s">
        <v>34</v>
      </c>
      <c r="Z10" t="str">
        <f>Labels!C156</f>
        <v>Total</v>
      </c>
      <c r="AA10" t="s">
        <v>611</v>
      </c>
      <c r="AB10" t="str">
        <f>Labels!B157</f>
        <v>Equity</v>
      </c>
      <c r="AC10" t="s">
        <v>886</v>
      </c>
      <c r="AD10" t="str">
        <f>Labels!D157</f>
        <v>Fin_Vehicles</v>
      </c>
      <c r="AE10" t="s">
        <v>931</v>
      </c>
      <c r="AF10" t="str">
        <f>Labels!B158</f>
        <v>Debt</v>
      </c>
      <c r="AG10" t="s">
        <v>127</v>
      </c>
      <c r="AH10" t="str">
        <f>Labels!B159</f>
        <v>Lease</v>
      </c>
      <c r="AI10" t="s">
        <v>1054</v>
      </c>
      <c r="AJ10" t="str">
        <f>Labels!E151</f>
        <v>A list of the components of financial and tax expense</v>
      </c>
      <c r="AK10" t="s">
        <v>36</v>
      </c>
      <c r="AL10" t="str">
        <f>Labels!B151</f>
        <v>FinTax</v>
      </c>
      <c r="AM10" t="s">
        <v>928</v>
      </c>
      <c r="AN10" t="str">
        <f>Labels!D151</f>
        <v>FinTax</v>
      </c>
      <c r="AO10" t="s">
        <v>1211</v>
      </c>
      <c r="AP10" t="str">
        <f>Labels!C151</f>
        <v>Total</v>
      </c>
      <c r="AQ10" t="s">
        <v>1615</v>
      </c>
      <c r="AR10" t="str">
        <f>Labels!B152</f>
        <v>Interest</v>
      </c>
      <c r="AS10" t="s">
        <v>455</v>
      </c>
      <c r="AT10" t="str">
        <f>Labels!D152</f>
        <v>FinTax</v>
      </c>
      <c r="AU10" t="s">
        <v>662</v>
      </c>
      <c r="AV10" t="str">
        <f>Labels!B153</f>
        <v>Lease Exp</v>
      </c>
      <c r="AW10" t="s">
        <v>439</v>
      </c>
      <c r="AX10" t="str">
        <f>Labels!B154</f>
        <v>Income Tax</v>
      </c>
      <c r="AY10" t="s">
        <v>1288</v>
      </c>
      <c r="AZ10" t="str">
        <f>Labels!E176</f>
        <v>A list of the financing scenarios</v>
      </c>
      <c r="BA10" t="s">
        <v>462</v>
      </c>
      <c r="BB10" t="str">
        <f>Labels!B176</f>
        <v>Scenarios Fin</v>
      </c>
      <c r="BC10" t="s">
        <v>82</v>
      </c>
      <c r="BD10" t="str">
        <f>Labels!D176</f>
        <v>Scenarios_Fin</v>
      </c>
      <c r="BE10" t="s">
        <v>789</v>
      </c>
      <c r="BF10" t="str">
        <f>Labels!C176</f>
        <v>Total</v>
      </c>
      <c r="BG10" t="s">
        <v>1163</v>
      </c>
      <c r="BH10" t="str">
        <f>Labels!B177</f>
        <v>Scenario 1</v>
      </c>
      <c r="BI10" t="s">
        <v>1552</v>
      </c>
      <c r="BJ10" t="str">
        <f>Labels!D177</f>
        <v>Scenarios_Fin1</v>
      </c>
      <c r="BK10" t="s">
        <v>1161</v>
      </c>
      <c r="BL10" t="str">
        <f>Labels!B178</f>
        <v>Scenario 2</v>
      </c>
    </row>
    <row r="11" spans="1:64" ht="12.75" customHeight="1" x14ac:dyDescent="0.2">
      <c r="A11" t="s">
        <v>1162</v>
      </c>
      <c r="B11" t="str">
        <f>Labels!B179</f>
        <v>Scenario 3</v>
      </c>
      <c r="C11" t="s">
        <v>265</v>
      </c>
      <c r="D11" t="str">
        <f>Labels!E134</f>
        <v>A list of the components of cash flow for all forms of financing (equity, debt and leases).</v>
      </c>
      <c r="E11" t="s">
        <v>399</v>
      </c>
      <c r="F11" t="str">
        <f>Labels!B134</f>
        <v>CF Blended</v>
      </c>
      <c r="G11" t="s">
        <v>519</v>
      </c>
      <c r="H11" t="str">
        <f>Labels!D134</f>
        <v>CF_Blended</v>
      </c>
      <c r="I11" t="s">
        <v>847</v>
      </c>
      <c r="J11" t="str">
        <f>Labels!C134</f>
        <v>Total</v>
      </c>
      <c r="K11" t="s">
        <v>1122</v>
      </c>
      <c r="L11" t="str">
        <f>Labels!B135</f>
        <v>EBITDA</v>
      </c>
      <c r="M11" t="s">
        <v>930</v>
      </c>
      <c r="N11" t="str">
        <f>Labels!D135</f>
        <v>CF_Blended</v>
      </c>
      <c r="O11" t="s">
        <v>421</v>
      </c>
      <c r="P11" t="str">
        <f>Labels!B136</f>
        <v>Fixed Invest</v>
      </c>
      <c r="Q11" t="s">
        <v>622</v>
      </c>
      <c r="R11" t="str">
        <f>Labels!B137</f>
        <v>Inv Tax Credit</v>
      </c>
      <c r="S11" t="s">
        <v>73</v>
      </c>
      <c r="T11" t="str">
        <f>Labels!B138</f>
        <v>Working Cap</v>
      </c>
      <c r="U11" t="s">
        <v>630</v>
      </c>
      <c r="V11" t="str">
        <f>Labels!B139</f>
        <v>Debt Principal</v>
      </c>
      <c r="W11" t="s">
        <v>991</v>
      </c>
      <c r="X11" t="str">
        <f>Labels!B140</f>
        <v>Interest Pay</v>
      </c>
      <c r="Y11" t="s">
        <v>1245</v>
      </c>
      <c r="Z11" t="str">
        <f>Labels!B141</f>
        <v>Lease Pay</v>
      </c>
      <c r="AA11" t="s">
        <v>582</v>
      </c>
      <c r="AB11" t="str">
        <f>Labels!B142</f>
        <v>Income Tax</v>
      </c>
      <c r="AC11" t="s">
        <v>612</v>
      </c>
      <c r="AD11" t="str">
        <f>Labels!E173</f>
        <v>A list of Products and Services</v>
      </c>
      <c r="AE11" t="s">
        <v>1425</v>
      </c>
      <c r="AF11" t="str">
        <f>Labels!B173</f>
        <v>Products</v>
      </c>
      <c r="AG11" t="s">
        <v>1275</v>
      </c>
      <c r="AH11" t="str">
        <f>Labels!D173</f>
        <v>Products</v>
      </c>
      <c r="AI11" t="s">
        <v>103</v>
      </c>
      <c r="AJ11" t="str">
        <f>Labels!C173</f>
        <v>Total</v>
      </c>
      <c r="AK11" t="s">
        <v>1050</v>
      </c>
      <c r="AL11" t="str">
        <f>Labels!B174</f>
        <v>Product 1</v>
      </c>
      <c r="AM11" t="s">
        <v>457</v>
      </c>
      <c r="AN11" t="str">
        <f>Labels!D174</f>
        <v>Products</v>
      </c>
      <c r="AO11" t="s">
        <v>1244</v>
      </c>
      <c r="AP11" t="str">
        <f>Labels!E169</f>
        <v xml:space="preserve">The maximum number of investments in per sub-project. Each investment has its own investement amount, date and so forth. </v>
      </c>
      <c r="AQ11" t="s">
        <v>246</v>
      </c>
      <c r="AR11" t="str">
        <f>Labels!B169</f>
        <v>Invest per Subproject</v>
      </c>
      <c r="AS11" t="s">
        <v>152</v>
      </c>
      <c r="AT11" t="str">
        <f>Labels!D169</f>
        <v>Investments_per</v>
      </c>
      <c r="AU11" t="s">
        <v>1342</v>
      </c>
      <c r="AV11" t="str">
        <f>Labels!C169</f>
        <v>Total</v>
      </c>
      <c r="AW11" t="s">
        <v>787</v>
      </c>
      <c r="AX11" t="str">
        <f>Labels!B170</f>
        <v>Invest 1</v>
      </c>
      <c r="AY11" t="s">
        <v>762</v>
      </c>
      <c r="AZ11" t="str">
        <f>Labels!D170</f>
        <v>Investment</v>
      </c>
      <c r="BA11" t="s">
        <v>320</v>
      </c>
      <c r="BB11" t="str">
        <f>Labels!B171</f>
        <v>Invest 2</v>
      </c>
      <c r="BC11" t="s">
        <v>410</v>
      </c>
      <c r="BD11">
        <f>Labels!B3</f>
        <v>40544</v>
      </c>
    </row>
    <row r="12" spans="1:64" ht="12.75" customHeight="1" x14ac:dyDescent="0.2">
      <c r="A12" t="s">
        <v>494</v>
      </c>
      <c r="B12">
        <f>Graphs!A1</f>
        <v>0</v>
      </c>
      <c r="C12" t="s">
        <v>324</v>
      </c>
      <c r="D12" t="str">
        <f>Inputs!A1</f>
        <v>ModelSheet Software</v>
      </c>
      <c r="E12" t="s">
        <v>324</v>
      </c>
      <c r="F12" t="str">
        <f>Investment!A1</f>
        <v>ModelSheet Software</v>
      </c>
      <c r="G12" t="s">
        <v>324</v>
      </c>
      <c r="H12" t="str">
        <f>Operations!A1</f>
        <v>ModelSheet Software</v>
      </c>
      <c r="I12" t="s">
        <v>324</v>
      </c>
      <c r="J12" t="str">
        <f>'Equity Fin'!A1</f>
        <v>ModelSheet Software</v>
      </c>
      <c r="K12" t="s">
        <v>324</v>
      </c>
      <c r="L12" t="str">
        <f>'EqF Subproject 1'!A1</f>
        <v>ModelSheet Software</v>
      </c>
      <c r="M12" t="s">
        <v>324</v>
      </c>
      <c r="N12" t="str">
        <f>'EqF Subproject 2'!A1</f>
        <v>ModelSheet Software</v>
      </c>
      <c r="O12" t="s">
        <v>324</v>
      </c>
      <c r="P12" t="str">
        <f>'Blended Fin'!A1</f>
        <v>ModelSheet Software</v>
      </c>
      <c r="Q12" t="s">
        <v>324</v>
      </c>
      <c r="R12" t="str">
        <f>'BF Subproject 1'!A1</f>
        <v>ModelSheet Software</v>
      </c>
      <c r="S12" t="s">
        <v>324</v>
      </c>
      <c r="T12" t="str">
        <f>'BF Subproject 2'!A1</f>
        <v>ModelSheet Software</v>
      </c>
      <c r="U12" t="s">
        <v>324</v>
      </c>
      <c r="V12" t="str">
        <f>Formulas!A1</f>
        <v>ModelSheet Software</v>
      </c>
      <c r="W12" t="s">
        <v>324</v>
      </c>
      <c r="X12" t="str">
        <f>'Plot Support'!A1</f>
        <v>ModelSheet Software</v>
      </c>
      <c r="Y12" t="s">
        <v>324</v>
      </c>
      <c r="Z12" t="str">
        <f>'(Compute)'!A1</f>
        <v>ModelSheet Software</v>
      </c>
      <c r="AA12" t="s">
        <v>324</v>
      </c>
      <c r="AB12" t="str">
        <f>'(FnCalls 1)'!A1</f>
        <v>ModelSheet Software</v>
      </c>
      <c r="AC12" t="s">
        <v>324</v>
      </c>
      <c r="AD12" t="str">
        <f>'(Tables)'!A1</f>
        <v>ModelSheet Software</v>
      </c>
      <c r="AE12" t="s">
        <v>324</v>
      </c>
      <c r="AF12" t="str">
        <f>Labels!A1</f>
        <v>ModelSheet Software</v>
      </c>
      <c r="AG12" t="s">
        <v>324</v>
      </c>
      <c r="AH12">
        <f>'(Ranges)'!A1</f>
        <v>1</v>
      </c>
      <c r="AI12" t="s">
        <v>324</v>
      </c>
      <c r="AJ12" t="str">
        <f>'(Import)'!A1</f>
        <v>:A:0:Time_Yr</v>
      </c>
    </row>
    <row r="13" spans="1:64" ht="12.75" customHeight="1" x14ac:dyDescent="0.2">
      <c r="A13" t="s">
        <v>217</v>
      </c>
      <c r="B13" t="str">
        <f>Inputs!E7</f>
        <v>ModelSheet Software</v>
      </c>
      <c r="C13" t="s">
        <v>856</v>
      </c>
      <c r="D13" t="str">
        <f>Inputs!E9</f>
        <v>Project Test</v>
      </c>
      <c r="E13" t="s">
        <v>1475</v>
      </c>
      <c r="F13" t="str">
        <f>Inputs!E17</f>
        <v>Catamarans Inv 1</v>
      </c>
      <c r="G13" t="s">
        <v>90</v>
      </c>
      <c r="H13">
        <f>Inputs!F17</f>
        <v>40543</v>
      </c>
      <c r="I13" t="s">
        <v>299</v>
      </c>
      <c r="J13" t="str">
        <f>Inputs!G17</f>
        <v>Linear</v>
      </c>
      <c r="K13" t="s">
        <v>425</v>
      </c>
      <c r="L13" t="str">
        <f>Inputs!H17</f>
        <v>Linear</v>
      </c>
      <c r="M13" t="s">
        <v>489</v>
      </c>
      <c r="N13">
        <f>Inputs!I17</f>
        <v>3</v>
      </c>
      <c r="O13" t="s">
        <v>1605</v>
      </c>
      <c r="P13">
        <f>Inputs!J17</f>
        <v>8</v>
      </c>
      <c r="Q13" t="s">
        <v>1526</v>
      </c>
      <c r="R13">
        <f>Inputs!K17</f>
        <v>0</v>
      </c>
      <c r="S13" t="s">
        <v>355</v>
      </c>
      <c r="T13">
        <f>Inputs!L17</f>
        <v>40543</v>
      </c>
      <c r="U13" t="s">
        <v>1541</v>
      </c>
      <c r="V13" t="str">
        <f>Inputs!E18</f>
        <v>Catamarans Inv 2</v>
      </c>
      <c r="W13" t="s">
        <v>1004</v>
      </c>
      <c r="X13">
        <f>Inputs!F18</f>
        <v>40543</v>
      </c>
      <c r="Y13" t="s">
        <v>1270</v>
      </c>
      <c r="Z13" t="str">
        <f>Inputs!G18</f>
        <v>Linear</v>
      </c>
      <c r="AA13" t="s">
        <v>1442</v>
      </c>
      <c r="AB13" t="str">
        <f>Inputs!H18</f>
        <v>Linear</v>
      </c>
      <c r="AC13" t="s">
        <v>465</v>
      </c>
      <c r="AD13">
        <f>Inputs!I18</f>
        <v>3</v>
      </c>
      <c r="AE13" t="s">
        <v>55</v>
      </c>
      <c r="AF13">
        <f>Inputs!J18</f>
        <v>8</v>
      </c>
      <c r="AG13" t="s">
        <v>1290</v>
      </c>
      <c r="AH13">
        <f>Inputs!K18</f>
        <v>0</v>
      </c>
      <c r="AI13" t="s">
        <v>1363</v>
      </c>
      <c r="AJ13">
        <f>Inputs!L18</f>
        <v>40543</v>
      </c>
      <c r="AK13" t="s">
        <v>747</v>
      </c>
      <c r="AL13" t="str">
        <f>Inputs!E19</f>
        <v>Canoes Inv 1</v>
      </c>
      <c r="AM13" t="s">
        <v>663</v>
      </c>
      <c r="AN13">
        <f>Inputs!F19</f>
        <v>40633</v>
      </c>
      <c r="AO13" t="s">
        <v>407</v>
      </c>
      <c r="AP13" t="str">
        <f>Inputs!G19</f>
        <v>Linear</v>
      </c>
      <c r="AQ13" t="s">
        <v>666</v>
      </c>
      <c r="AR13" t="str">
        <f>Inputs!H19</f>
        <v>Linear</v>
      </c>
      <c r="AS13" t="s">
        <v>318</v>
      </c>
      <c r="AT13">
        <f>Inputs!I19</f>
        <v>3</v>
      </c>
      <c r="AU13" t="s">
        <v>966</v>
      </c>
      <c r="AV13">
        <f>Inputs!J19</f>
        <v>8</v>
      </c>
      <c r="AW13" t="s">
        <v>1590</v>
      </c>
      <c r="AX13">
        <f>Inputs!K19</f>
        <v>0</v>
      </c>
      <c r="AY13" t="s">
        <v>175</v>
      </c>
      <c r="AZ13">
        <f>Inputs!L19</f>
        <v>40633</v>
      </c>
      <c r="BA13" t="s">
        <v>1436</v>
      </c>
      <c r="BB13" t="str">
        <f>Inputs!E20</f>
        <v>Canoes Inv 2</v>
      </c>
      <c r="BC13" t="s">
        <v>799</v>
      </c>
      <c r="BD13">
        <f>Inputs!F20</f>
        <v>40633</v>
      </c>
      <c r="BE13" t="s">
        <v>383</v>
      </c>
      <c r="BF13" t="str">
        <f>Inputs!G20</f>
        <v>Linear</v>
      </c>
      <c r="BG13" t="s">
        <v>703</v>
      </c>
      <c r="BH13" t="str">
        <f>Inputs!H20</f>
        <v>Linear</v>
      </c>
      <c r="BI13" t="s">
        <v>378</v>
      </c>
      <c r="BJ13">
        <f>Inputs!I20</f>
        <v>3</v>
      </c>
      <c r="BK13" t="s">
        <v>13</v>
      </c>
      <c r="BL13">
        <f>Inputs!J20</f>
        <v>8</v>
      </c>
    </row>
    <row r="14" spans="1:64" ht="12.75" customHeight="1" x14ac:dyDescent="0.2">
      <c r="A14" t="s">
        <v>1137</v>
      </c>
      <c r="B14">
        <f>Inputs!K20</f>
        <v>0</v>
      </c>
      <c r="C14" t="s">
        <v>853</v>
      </c>
      <c r="D14">
        <f>Inputs!L20</f>
        <v>40633</v>
      </c>
      <c r="E14" t="s">
        <v>1203</v>
      </c>
      <c r="F14">
        <f>Inputs!E24</f>
        <v>0</v>
      </c>
      <c r="G14" t="s">
        <v>1042</v>
      </c>
      <c r="H14">
        <f>Inputs!F24</f>
        <v>0</v>
      </c>
      <c r="I14" t="s">
        <v>1120</v>
      </c>
      <c r="J14">
        <f>Inputs!E25</f>
        <v>0</v>
      </c>
      <c r="K14" t="s">
        <v>1310</v>
      </c>
      <c r="L14">
        <f>Inputs!F25</f>
        <v>0</v>
      </c>
      <c r="M14" t="s">
        <v>394</v>
      </c>
      <c r="N14">
        <f>Inputs!E26</f>
        <v>0</v>
      </c>
      <c r="O14" t="s">
        <v>876</v>
      </c>
      <c r="P14">
        <f>Inputs!F26</f>
        <v>0</v>
      </c>
      <c r="Q14" t="s">
        <v>141</v>
      </c>
      <c r="R14">
        <f>Inputs!E27</f>
        <v>0</v>
      </c>
      <c r="S14" t="s">
        <v>464</v>
      </c>
      <c r="T14">
        <f>Inputs!F27</f>
        <v>0</v>
      </c>
      <c r="U14" t="s">
        <v>1175</v>
      </c>
      <c r="V14">
        <f>Inputs!E28</f>
        <v>0</v>
      </c>
      <c r="W14" t="s">
        <v>1156</v>
      </c>
      <c r="X14">
        <f>Inputs!F28</f>
        <v>0</v>
      </c>
      <c r="Y14" t="s">
        <v>555</v>
      </c>
      <c r="Z14">
        <f>Inputs!E29</f>
        <v>0</v>
      </c>
      <c r="AA14" t="s">
        <v>1202</v>
      </c>
      <c r="AB14">
        <f>Inputs!F29</f>
        <v>0</v>
      </c>
      <c r="AC14" t="s">
        <v>204</v>
      </c>
      <c r="AD14">
        <f>Inputs!E30</f>
        <v>0</v>
      </c>
      <c r="AE14" t="s">
        <v>815</v>
      </c>
      <c r="AF14">
        <f>Inputs!F30</f>
        <v>0</v>
      </c>
      <c r="AG14" t="s">
        <v>294</v>
      </c>
      <c r="AH14">
        <f>Inputs!E31</f>
        <v>0</v>
      </c>
      <c r="AI14" t="s">
        <v>811</v>
      </c>
      <c r="AJ14">
        <f>Inputs!F31</f>
        <v>0</v>
      </c>
      <c r="AK14" t="s">
        <v>1531</v>
      </c>
      <c r="AL14">
        <f>Inputs!E37</f>
        <v>0</v>
      </c>
      <c r="AM14" t="s">
        <v>1570</v>
      </c>
      <c r="AN14">
        <f>Inputs!F37</f>
        <v>0</v>
      </c>
      <c r="AO14" t="s">
        <v>469</v>
      </c>
      <c r="AP14">
        <f>Inputs!E38</f>
        <v>0</v>
      </c>
      <c r="AQ14" t="s">
        <v>821</v>
      </c>
      <c r="AR14">
        <f>Inputs!F38</f>
        <v>0</v>
      </c>
      <c r="AS14" t="s">
        <v>1446</v>
      </c>
      <c r="AT14">
        <f>Inputs!E40</f>
        <v>0</v>
      </c>
      <c r="AU14" t="s">
        <v>351</v>
      </c>
      <c r="AV14">
        <f>Inputs!F40</f>
        <v>0</v>
      </c>
      <c r="AW14" t="s">
        <v>745</v>
      </c>
      <c r="AX14">
        <f>Inputs!E41</f>
        <v>0</v>
      </c>
      <c r="AY14" t="s">
        <v>1000</v>
      </c>
      <c r="AZ14">
        <f>Inputs!F41</f>
        <v>0</v>
      </c>
      <c r="BA14" t="s">
        <v>686</v>
      </c>
      <c r="BB14">
        <f>Inputs!E43</f>
        <v>0</v>
      </c>
      <c r="BC14" t="s">
        <v>97</v>
      </c>
      <c r="BD14">
        <f>Inputs!F43</f>
        <v>0</v>
      </c>
      <c r="BE14" t="s">
        <v>1272</v>
      </c>
      <c r="BF14">
        <f>Inputs!E44</f>
        <v>0</v>
      </c>
      <c r="BG14" t="s">
        <v>885</v>
      </c>
      <c r="BH14">
        <f>Inputs!F44</f>
        <v>0</v>
      </c>
      <c r="BI14" t="s">
        <v>1025</v>
      </c>
      <c r="BJ14">
        <f>Inputs!E51</f>
        <v>0</v>
      </c>
      <c r="BK14" t="s">
        <v>1168</v>
      </c>
      <c r="BL14">
        <f>Inputs!F51</f>
        <v>0</v>
      </c>
    </row>
    <row r="15" spans="1:64" ht="12.75" customHeight="1" x14ac:dyDescent="0.2">
      <c r="A15" t="s">
        <v>1289</v>
      </c>
      <c r="B15">
        <f>Inputs!F54</f>
        <v>0</v>
      </c>
      <c r="C15" t="s">
        <v>1102</v>
      </c>
      <c r="D15">
        <f>Inputs!G54</f>
        <v>0</v>
      </c>
      <c r="E15" t="s">
        <v>589</v>
      </c>
      <c r="F15">
        <f>Inputs!H54</f>
        <v>0</v>
      </c>
      <c r="G15" t="s">
        <v>503</v>
      </c>
      <c r="H15">
        <f>Inputs!J54</f>
        <v>0</v>
      </c>
      <c r="I15" t="s">
        <v>198</v>
      </c>
      <c r="J15">
        <f>Inputs!K54</f>
        <v>0</v>
      </c>
      <c r="K15" t="s">
        <v>629</v>
      </c>
      <c r="L15">
        <f>Inputs!L54</f>
        <v>0</v>
      </c>
      <c r="M15" t="s">
        <v>201</v>
      </c>
      <c r="N15">
        <f>Inputs!M54</f>
        <v>0</v>
      </c>
      <c r="O15" t="s">
        <v>952</v>
      </c>
      <c r="P15">
        <f>Inputs!F55</f>
        <v>0</v>
      </c>
      <c r="Q15" t="s">
        <v>306</v>
      </c>
      <c r="R15">
        <f>Inputs!G55</f>
        <v>0</v>
      </c>
      <c r="S15" t="s">
        <v>1398</v>
      </c>
      <c r="T15">
        <f>Inputs!H55</f>
        <v>0</v>
      </c>
      <c r="U15" t="s">
        <v>234</v>
      </c>
      <c r="V15">
        <f>Inputs!J55</f>
        <v>0</v>
      </c>
      <c r="W15" t="s">
        <v>1005</v>
      </c>
      <c r="X15">
        <f>Inputs!K55</f>
        <v>0</v>
      </c>
      <c r="Y15" t="s">
        <v>1558</v>
      </c>
      <c r="Z15">
        <f>Inputs!L55</f>
        <v>0</v>
      </c>
      <c r="AA15" t="s">
        <v>1388</v>
      </c>
      <c r="AB15">
        <f>Inputs!M55</f>
        <v>0</v>
      </c>
      <c r="AC15" t="s">
        <v>1254</v>
      </c>
      <c r="AD15">
        <f>Inputs!E57</f>
        <v>0</v>
      </c>
      <c r="AE15" t="s">
        <v>970</v>
      </c>
      <c r="AF15">
        <f>Inputs!F57</f>
        <v>0</v>
      </c>
      <c r="AG15" t="s">
        <v>855</v>
      </c>
      <c r="AH15">
        <f>Inputs!G57</f>
        <v>0</v>
      </c>
      <c r="AI15" t="s">
        <v>1368</v>
      </c>
      <c r="AJ15">
        <f>Inputs!H57</f>
        <v>0</v>
      </c>
      <c r="AK15" t="s">
        <v>904</v>
      </c>
      <c r="AL15">
        <f>Inputs!J57</f>
        <v>0</v>
      </c>
      <c r="AM15" t="s">
        <v>502</v>
      </c>
      <c r="AN15">
        <f>Inputs!K57</f>
        <v>0</v>
      </c>
      <c r="AO15" t="s">
        <v>310</v>
      </c>
      <c r="AP15">
        <f>Inputs!L57</f>
        <v>0</v>
      </c>
      <c r="AQ15" t="s">
        <v>1438</v>
      </c>
      <c r="AR15">
        <f>Inputs!M57</f>
        <v>0</v>
      </c>
      <c r="AS15" t="s">
        <v>593</v>
      </c>
      <c r="AT15">
        <f>Inputs!E58</f>
        <v>0</v>
      </c>
      <c r="AU15" t="s">
        <v>1097</v>
      </c>
      <c r="AV15">
        <f>Inputs!F58</f>
        <v>0</v>
      </c>
      <c r="AW15" t="s">
        <v>1291</v>
      </c>
      <c r="AX15">
        <f>Inputs!G58</f>
        <v>0</v>
      </c>
      <c r="AY15" t="s">
        <v>969</v>
      </c>
      <c r="AZ15">
        <f>Inputs!H58</f>
        <v>0</v>
      </c>
      <c r="BA15" t="s">
        <v>1321</v>
      </c>
      <c r="BB15">
        <f>Inputs!J58</f>
        <v>0</v>
      </c>
      <c r="BC15" t="s">
        <v>1171</v>
      </c>
      <c r="BD15">
        <f>Inputs!K58</f>
        <v>0</v>
      </c>
      <c r="BE15" t="s">
        <v>1110</v>
      </c>
      <c r="BF15">
        <f>Inputs!L58</f>
        <v>0</v>
      </c>
      <c r="BG15" t="s">
        <v>884</v>
      </c>
      <c r="BH15">
        <f>Inputs!M58</f>
        <v>0</v>
      </c>
      <c r="BI15" t="s">
        <v>1493</v>
      </c>
      <c r="BJ15">
        <f>Inputs!E63</f>
        <v>0</v>
      </c>
      <c r="BK15" t="s">
        <v>1133</v>
      </c>
      <c r="BL15">
        <f>Inputs!F63</f>
        <v>0</v>
      </c>
    </row>
    <row r="16" spans="1:64" ht="12.75" customHeight="1" x14ac:dyDescent="0.2">
      <c r="A16" t="s">
        <v>115</v>
      </c>
      <c r="B16">
        <f>Inputs!G63</f>
        <v>0</v>
      </c>
      <c r="C16" t="s">
        <v>1589</v>
      </c>
      <c r="D16">
        <f>Inputs!H63</f>
        <v>0</v>
      </c>
      <c r="E16" t="s">
        <v>1497</v>
      </c>
      <c r="F16">
        <f>Inputs!J63</f>
        <v>0</v>
      </c>
      <c r="G16" t="s">
        <v>1109</v>
      </c>
      <c r="H16">
        <f>Inputs!K63</f>
        <v>0</v>
      </c>
      <c r="I16" t="s">
        <v>77</v>
      </c>
      <c r="J16">
        <f>Inputs!L63</f>
        <v>0</v>
      </c>
      <c r="K16" t="s">
        <v>184</v>
      </c>
      <c r="L16">
        <f>Inputs!M63</f>
        <v>0</v>
      </c>
      <c r="M16" t="s">
        <v>275</v>
      </c>
      <c r="N16">
        <f>Inputs!E64</f>
        <v>0</v>
      </c>
      <c r="O16" t="s">
        <v>1616</v>
      </c>
      <c r="P16">
        <f>Inputs!F64</f>
        <v>0</v>
      </c>
      <c r="Q16" t="s">
        <v>497</v>
      </c>
      <c r="R16">
        <f>Inputs!G64</f>
        <v>0</v>
      </c>
      <c r="S16" t="s">
        <v>405</v>
      </c>
      <c r="T16">
        <f>Inputs!H64</f>
        <v>0</v>
      </c>
      <c r="U16" t="s">
        <v>3</v>
      </c>
      <c r="V16">
        <f>Inputs!J64</f>
        <v>0</v>
      </c>
      <c r="W16" t="s">
        <v>393</v>
      </c>
      <c r="X16">
        <f>Inputs!K64</f>
        <v>0</v>
      </c>
      <c r="Y16" t="s">
        <v>53</v>
      </c>
      <c r="Z16">
        <f>Inputs!L64</f>
        <v>0</v>
      </c>
      <c r="AA16" t="s">
        <v>1152</v>
      </c>
      <c r="AB16">
        <f>Inputs!M64</f>
        <v>0</v>
      </c>
      <c r="AC16" t="s">
        <v>556</v>
      </c>
      <c r="AD16">
        <f>Inputs!E67</f>
        <v>0</v>
      </c>
      <c r="AE16" t="s">
        <v>245</v>
      </c>
      <c r="AF16">
        <f>Inputs!F67</f>
        <v>0</v>
      </c>
      <c r="AG16" t="s">
        <v>553</v>
      </c>
      <c r="AH16">
        <f>Inputs!G67</f>
        <v>0</v>
      </c>
      <c r="AI16" t="s">
        <v>133</v>
      </c>
      <c r="AJ16">
        <f>Inputs!H67</f>
        <v>0</v>
      </c>
      <c r="AK16" t="s">
        <v>1263</v>
      </c>
      <c r="AL16">
        <f>Inputs!J67</f>
        <v>0</v>
      </c>
      <c r="AM16" t="s">
        <v>288</v>
      </c>
      <c r="AN16">
        <f>Inputs!K67</f>
        <v>0</v>
      </c>
      <c r="AO16" t="s">
        <v>1276</v>
      </c>
      <c r="AP16">
        <f>Inputs!L67</f>
        <v>0</v>
      </c>
      <c r="AQ16" t="s">
        <v>360</v>
      </c>
      <c r="AR16">
        <f>Inputs!M67</f>
        <v>0</v>
      </c>
      <c r="AS16" t="s">
        <v>1594</v>
      </c>
      <c r="AT16">
        <f>Inputs!E68</f>
        <v>0</v>
      </c>
      <c r="AU16" t="s">
        <v>652</v>
      </c>
      <c r="AV16">
        <f>Inputs!F68</f>
        <v>0</v>
      </c>
      <c r="AW16" t="s">
        <v>934</v>
      </c>
      <c r="AX16">
        <f>Inputs!G68</f>
        <v>0</v>
      </c>
      <c r="AY16" t="s">
        <v>926</v>
      </c>
      <c r="AZ16">
        <f>Inputs!H68</f>
        <v>0</v>
      </c>
      <c r="BA16" t="s">
        <v>684</v>
      </c>
      <c r="BB16">
        <f>Inputs!J68</f>
        <v>0</v>
      </c>
      <c r="BC16" t="s">
        <v>233</v>
      </c>
      <c r="BD16">
        <f>Inputs!K68</f>
        <v>0</v>
      </c>
      <c r="BE16" t="s">
        <v>1481</v>
      </c>
      <c r="BF16">
        <f>Inputs!L68</f>
        <v>0</v>
      </c>
      <c r="BG16" t="s">
        <v>1508</v>
      </c>
      <c r="BH16">
        <f>Inputs!M68</f>
        <v>0</v>
      </c>
      <c r="BI16" t="s">
        <v>1105</v>
      </c>
      <c r="BJ16">
        <f>Inputs!E76</f>
        <v>0</v>
      </c>
      <c r="BK16" t="s">
        <v>568</v>
      </c>
      <c r="BL16">
        <f>Inputs!F76</f>
        <v>0</v>
      </c>
    </row>
    <row r="17" spans="1:64" ht="12.75" customHeight="1" x14ac:dyDescent="0.2">
      <c r="A17" t="s">
        <v>64</v>
      </c>
      <c r="B17">
        <f>Inputs!G76</f>
        <v>0</v>
      </c>
      <c r="C17" t="s">
        <v>231</v>
      </c>
      <c r="D17">
        <f>Inputs!H76</f>
        <v>0</v>
      </c>
      <c r="E17" t="s">
        <v>301</v>
      </c>
      <c r="F17">
        <f>Inputs!J76</f>
        <v>0</v>
      </c>
      <c r="G17" t="s">
        <v>513</v>
      </c>
      <c r="H17">
        <f>Inputs!K76</f>
        <v>0</v>
      </c>
      <c r="I17" t="s">
        <v>583</v>
      </c>
      <c r="J17">
        <f>Inputs!L76</f>
        <v>0</v>
      </c>
      <c r="K17" t="s">
        <v>974</v>
      </c>
      <c r="L17">
        <f>Inputs!M76</f>
        <v>0</v>
      </c>
      <c r="M17" t="s">
        <v>1077</v>
      </c>
      <c r="N17">
        <f>Inputs!E77</f>
        <v>0</v>
      </c>
      <c r="O17" t="s">
        <v>126</v>
      </c>
      <c r="P17">
        <f>Inputs!F77</f>
        <v>0</v>
      </c>
      <c r="Q17" t="s">
        <v>1407</v>
      </c>
      <c r="R17">
        <f>Inputs!G77</f>
        <v>0</v>
      </c>
      <c r="S17" t="s">
        <v>1194</v>
      </c>
      <c r="T17">
        <f>Inputs!H77</f>
        <v>0</v>
      </c>
      <c r="U17" t="s">
        <v>463</v>
      </c>
      <c r="V17">
        <f>Inputs!J77</f>
        <v>0</v>
      </c>
      <c r="W17" t="s">
        <v>987</v>
      </c>
      <c r="X17">
        <f>Inputs!K77</f>
        <v>0</v>
      </c>
      <c r="Y17" t="s">
        <v>114</v>
      </c>
      <c r="Z17">
        <f>Inputs!L77</f>
        <v>0</v>
      </c>
      <c r="AA17" t="s">
        <v>1174</v>
      </c>
      <c r="AB17">
        <f>Inputs!M77</f>
        <v>0</v>
      </c>
      <c r="AC17" t="s">
        <v>1564</v>
      </c>
      <c r="AD17">
        <f>Inputs!E78</f>
        <v>0</v>
      </c>
      <c r="AE17" t="s">
        <v>1179</v>
      </c>
      <c r="AF17">
        <f>Inputs!F78</f>
        <v>0</v>
      </c>
      <c r="AG17" t="s">
        <v>859</v>
      </c>
      <c r="AH17">
        <f>Inputs!G78</f>
        <v>0</v>
      </c>
      <c r="AI17" t="s">
        <v>434</v>
      </c>
      <c r="AJ17">
        <f>Inputs!H78</f>
        <v>0</v>
      </c>
      <c r="AK17" t="s">
        <v>523</v>
      </c>
      <c r="AL17">
        <f>Inputs!J78</f>
        <v>0</v>
      </c>
      <c r="AM17" t="s">
        <v>71</v>
      </c>
      <c r="AN17">
        <f>Inputs!K78</f>
        <v>0</v>
      </c>
      <c r="AO17" t="s">
        <v>800</v>
      </c>
      <c r="AP17">
        <f>Inputs!L78</f>
        <v>0</v>
      </c>
      <c r="AQ17" t="s">
        <v>131</v>
      </c>
      <c r="AR17">
        <f>Inputs!M78</f>
        <v>0</v>
      </c>
      <c r="AS17" t="s">
        <v>1036</v>
      </c>
      <c r="AT17">
        <f>Inputs!E79</f>
        <v>0</v>
      </c>
      <c r="AU17" t="s">
        <v>534</v>
      </c>
      <c r="AV17">
        <f>Inputs!F79</f>
        <v>0</v>
      </c>
      <c r="AW17" t="s">
        <v>1486</v>
      </c>
      <c r="AX17">
        <f>Inputs!G79</f>
        <v>0</v>
      </c>
      <c r="AY17" t="s">
        <v>1574</v>
      </c>
      <c r="AZ17">
        <f>Inputs!H79</f>
        <v>0</v>
      </c>
      <c r="BA17" t="s">
        <v>992</v>
      </c>
      <c r="BB17">
        <f>Inputs!J79</f>
        <v>0</v>
      </c>
      <c r="BC17" t="s">
        <v>352</v>
      </c>
      <c r="BD17">
        <f>Inputs!K79</f>
        <v>0</v>
      </c>
      <c r="BE17" t="s">
        <v>1601</v>
      </c>
      <c r="BF17">
        <f>Inputs!L79</f>
        <v>0</v>
      </c>
      <c r="BG17" t="s">
        <v>1072</v>
      </c>
      <c r="BH17">
        <f>Inputs!M79</f>
        <v>0</v>
      </c>
      <c r="BI17" t="s">
        <v>1116</v>
      </c>
      <c r="BJ17">
        <f>Inputs!E82</f>
        <v>0</v>
      </c>
      <c r="BK17" t="s">
        <v>1182</v>
      </c>
      <c r="BL17">
        <f>Inputs!F82</f>
        <v>0</v>
      </c>
    </row>
    <row r="18" spans="1:64" ht="12.75" customHeight="1" x14ac:dyDescent="0.2">
      <c r="A18" t="s">
        <v>61</v>
      </c>
      <c r="B18">
        <f>Inputs!E83</f>
        <v>0</v>
      </c>
      <c r="C18" t="s">
        <v>1126</v>
      </c>
      <c r="D18">
        <f>Inputs!F83</f>
        <v>0</v>
      </c>
      <c r="E18" t="s">
        <v>135</v>
      </c>
      <c r="F18">
        <f>Inputs!E86</f>
        <v>0</v>
      </c>
      <c r="G18" t="s">
        <v>1196</v>
      </c>
      <c r="H18">
        <f>Inputs!F86</f>
        <v>0</v>
      </c>
      <c r="I18" t="s">
        <v>323</v>
      </c>
      <c r="J18">
        <f>Inputs!G86</f>
        <v>0</v>
      </c>
      <c r="K18" t="s">
        <v>271</v>
      </c>
      <c r="L18">
        <f>Inputs!I86</f>
        <v>0</v>
      </c>
      <c r="M18" t="s">
        <v>636</v>
      </c>
      <c r="N18">
        <f>Inputs!J86</f>
        <v>0</v>
      </c>
      <c r="O18" t="s">
        <v>259</v>
      </c>
      <c r="P18">
        <f>Inputs!K86</f>
        <v>0</v>
      </c>
      <c r="Q18" t="s">
        <v>24</v>
      </c>
      <c r="R18">
        <f>Inputs!L86</f>
        <v>0</v>
      </c>
      <c r="S18" t="s">
        <v>165</v>
      </c>
      <c r="T18">
        <f>Inputs!E87</f>
        <v>0</v>
      </c>
      <c r="U18" t="s">
        <v>763</v>
      </c>
      <c r="V18">
        <f>Inputs!F87</f>
        <v>0</v>
      </c>
      <c r="W18" t="s">
        <v>951</v>
      </c>
      <c r="X18">
        <f>Inputs!G87</f>
        <v>0</v>
      </c>
      <c r="Y18" t="s">
        <v>713</v>
      </c>
      <c r="Z18">
        <f>Inputs!I87</f>
        <v>0</v>
      </c>
      <c r="AA18" t="s">
        <v>558</v>
      </c>
      <c r="AB18">
        <f>Inputs!J87</f>
        <v>0</v>
      </c>
      <c r="AC18" t="s">
        <v>488</v>
      </c>
      <c r="AD18">
        <f>Inputs!K87</f>
        <v>0</v>
      </c>
      <c r="AE18" t="s">
        <v>422</v>
      </c>
      <c r="AF18">
        <f>Inputs!L87</f>
        <v>0</v>
      </c>
      <c r="AG18" t="s">
        <v>86</v>
      </c>
      <c r="AH18">
        <f>Inputs!E88</f>
        <v>0</v>
      </c>
      <c r="AI18" t="s">
        <v>25</v>
      </c>
      <c r="AJ18">
        <f>Inputs!F88</f>
        <v>0</v>
      </c>
      <c r="AK18" t="s">
        <v>123</v>
      </c>
      <c r="AL18">
        <f>Inputs!G88</f>
        <v>0</v>
      </c>
      <c r="AM18" t="s">
        <v>871</v>
      </c>
      <c r="AN18">
        <f>Inputs!I88</f>
        <v>0</v>
      </c>
      <c r="AO18" t="s">
        <v>1546</v>
      </c>
      <c r="AP18">
        <f>Inputs!J88</f>
        <v>0</v>
      </c>
      <c r="AQ18" t="s">
        <v>712</v>
      </c>
      <c r="AR18">
        <f>Inputs!K88</f>
        <v>0</v>
      </c>
      <c r="AS18" t="s">
        <v>205</v>
      </c>
      <c r="AT18">
        <f>Inputs!L88</f>
        <v>0</v>
      </c>
      <c r="AU18" t="s">
        <v>681</v>
      </c>
      <c r="AV18">
        <f>Inputs!E89</f>
        <v>0</v>
      </c>
      <c r="AW18" t="s">
        <v>58</v>
      </c>
      <c r="AX18">
        <f>Inputs!F89</f>
        <v>0</v>
      </c>
      <c r="AY18" t="s">
        <v>42</v>
      </c>
      <c r="AZ18">
        <f>Inputs!G89</f>
        <v>0</v>
      </c>
      <c r="BA18" t="s">
        <v>1303</v>
      </c>
      <c r="BB18">
        <f>Inputs!I89</f>
        <v>0</v>
      </c>
      <c r="BC18" t="s">
        <v>1231</v>
      </c>
      <c r="BD18">
        <f>Inputs!J89</f>
        <v>0</v>
      </c>
      <c r="BE18" t="s">
        <v>1180</v>
      </c>
      <c r="BF18">
        <f>Inputs!K89</f>
        <v>0</v>
      </c>
      <c r="BG18" t="s">
        <v>903</v>
      </c>
      <c r="BH18">
        <f>Inputs!L89</f>
        <v>0</v>
      </c>
      <c r="BI18" t="s">
        <v>313</v>
      </c>
      <c r="BJ18">
        <f>Inputs!E95</f>
        <v>0</v>
      </c>
      <c r="BK18" t="s">
        <v>431</v>
      </c>
      <c r="BL18">
        <f>Inputs!F95</f>
        <v>0</v>
      </c>
    </row>
    <row r="19" spans="1:64" ht="12.75" customHeight="1" x14ac:dyDescent="0.2">
      <c r="A19" t="s">
        <v>1132</v>
      </c>
      <c r="B19">
        <f>Inputs!G95</f>
        <v>0</v>
      </c>
      <c r="C19" t="s">
        <v>726</v>
      </c>
      <c r="D19">
        <f>Inputs!H95</f>
        <v>0</v>
      </c>
      <c r="E19" t="s">
        <v>195</v>
      </c>
      <c r="F19">
        <f>Inputs!J95</f>
        <v>0</v>
      </c>
      <c r="G19" t="s">
        <v>1008</v>
      </c>
      <c r="H19">
        <f>Inputs!K95</f>
        <v>0</v>
      </c>
      <c r="I19" t="s">
        <v>446</v>
      </c>
      <c r="J19">
        <f>Inputs!L95</f>
        <v>0</v>
      </c>
      <c r="K19" t="s">
        <v>804</v>
      </c>
      <c r="L19">
        <f>Inputs!M95</f>
        <v>0</v>
      </c>
      <c r="M19" t="s">
        <v>1287</v>
      </c>
      <c r="N19">
        <f>Inputs!E96</f>
        <v>0</v>
      </c>
      <c r="O19" t="s">
        <v>235</v>
      </c>
      <c r="P19">
        <f>Inputs!F96</f>
        <v>0</v>
      </c>
      <c r="Q19" t="s">
        <v>566</v>
      </c>
      <c r="R19">
        <f>Inputs!G96</f>
        <v>0</v>
      </c>
      <c r="S19" t="s">
        <v>695</v>
      </c>
      <c r="T19">
        <f>Inputs!H96</f>
        <v>0</v>
      </c>
      <c r="U19" t="s">
        <v>1468</v>
      </c>
      <c r="V19">
        <f>Inputs!J96</f>
        <v>0</v>
      </c>
      <c r="W19" t="s">
        <v>1566</v>
      </c>
      <c r="X19">
        <f>Inputs!K96</f>
        <v>0</v>
      </c>
      <c r="Y19" t="s">
        <v>535</v>
      </c>
      <c r="Z19">
        <f>Inputs!L96</f>
        <v>0</v>
      </c>
      <c r="AA19" t="s">
        <v>842</v>
      </c>
      <c r="AB19">
        <f>Inputs!M96</f>
        <v>0</v>
      </c>
      <c r="AC19" t="s">
        <v>1236</v>
      </c>
      <c r="AD19">
        <f>Inputs!E97</f>
        <v>0</v>
      </c>
      <c r="AE19" t="s">
        <v>370</v>
      </c>
      <c r="AF19">
        <f>Inputs!F97</f>
        <v>0</v>
      </c>
      <c r="AG19" t="s">
        <v>1059</v>
      </c>
      <c r="AH19">
        <f>Inputs!G97</f>
        <v>0</v>
      </c>
      <c r="AI19" t="s">
        <v>772</v>
      </c>
      <c r="AJ19">
        <f>Inputs!H97</f>
        <v>0</v>
      </c>
      <c r="AK19" t="s">
        <v>215</v>
      </c>
      <c r="AL19">
        <f>Inputs!J97</f>
        <v>0</v>
      </c>
      <c r="AM19" t="s">
        <v>354</v>
      </c>
      <c r="AN19">
        <f>Inputs!K97</f>
        <v>0</v>
      </c>
      <c r="AO19" t="s">
        <v>107</v>
      </c>
      <c r="AP19">
        <f>Inputs!L97</f>
        <v>0</v>
      </c>
      <c r="AQ19" t="s">
        <v>1430</v>
      </c>
      <c r="AR19">
        <f>Inputs!M97</f>
        <v>0</v>
      </c>
      <c r="AS19" t="s">
        <v>1022</v>
      </c>
      <c r="AT19">
        <f>Inputs!E98</f>
        <v>0</v>
      </c>
      <c r="AU19" t="s">
        <v>1394</v>
      </c>
      <c r="AV19">
        <f>Inputs!F98</f>
        <v>0</v>
      </c>
      <c r="AW19" t="s">
        <v>154</v>
      </c>
      <c r="AX19">
        <f>Inputs!G98</f>
        <v>0</v>
      </c>
      <c r="AY19" t="s">
        <v>1428</v>
      </c>
      <c r="AZ19">
        <f>Inputs!H98</f>
        <v>0</v>
      </c>
      <c r="BA19" t="s">
        <v>209</v>
      </c>
      <c r="BB19">
        <f>Inputs!J98</f>
        <v>0</v>
      </c>
      <c r="BC19" t="s">
        <v>505</v>
      </c>
      <c r="BD19">
        <f>Inputs!K98</f>
        <v>0</v>
      </c>
      <c r="BE19" t="s">
        <v>492</v>
      </c>
      <c r="BF19">
        <f>Inputs!L98</f>
        <v>0</v>
      </c>
      <c r="BG19" t="s">
        <v>414</v>
      </c>
      <c r="BH19">
        <f>Inputs!M98</f>
        <v>0</v>
      </c>
      <c r="BI19" t="s">
        <v>1488</v>
      </c>
      <c r="BJ19">
        <f>Inputs!E101</f>
        <v>0</v>
      </c>
      <c r="BK19" t="s">
        <v>711</v>
      </c>
      <c r="BL19">
        <f>Inputs!F101</f>
        <v>0</v>
      </c>
    </row>
    <row r="20" spans="1:64" ht="12.75" customHeight="1" x14ac:dyDescent="0.2">
      <c r="A20" t="s">
        <v>1473</v>
      </c>
      <c r="B20">
        <f>Inputs!G101</f>
        <v>0</v>
      </c>
      <c r="C20" t="s">
        <v>1083</v>
      </c>
      <c r="D20">
        <f>Inputs!H101</f>
        <v>0</v>
      </c>
      <c r="E20" t="s">
        <v>1023</v>
      </c>
      <c r="F20">
        <f>Inputs!J101</f>
        <v>0</v>
      </c>
      <c r="G20" t="s">
        <v>1443</v>
      </c>
      <c r="H20">
        <f>Inputs!K101</f>
        <v>0</v>
      </c>
      <c r="I20" t="s">
        <v>780</v>
      </c>
      <c r="J20">
        <f>Inputs!L101</f>
        <v>0</v>
      </c>
      <c r="K20" t="s">
        <v>1062</v>
      </c>
      <c r="L20">
        <f>Inputs!M101</f>
        <v>0</v>
      </c>
      <c r="M20" t="s">
        <v>851</v>
      </c>
      <c r="N20">
        <f>Inputs!E102</f>
        <v>0</v>
      </c>
      <c r="O20" t="s">
        <v>761</v>
      </c>
      <c r="P20">
        <f>Inputs!F102</f>
        <v>0</v>
      </c>
      <c r="Q20" t="s">
        <v>100</v>
      </c>
      <c r="R20">
        <f>Inputs!G102</f>
        <v>0</v>
      </c>
      <c r="S20" t="s">
        <v>210</v>
      </c>
      <c r="T20">
        <f>Inputs!H102</f>
        <v>0</v>
      </c>
      <c r="U20" t="s">
        <v>1439</v>
      </c>
      <c r="V20">
        <f>Inputs!J102</f>
        <v>0</v>
      </c>
      <c r="W20" t="s">
        <v>1503</v>
      </c>
      <c r="X20">
        <f>Inputs!K102</f>
        <v>0</v>
      </c>
      <c r="Y20" t="s">
        <v>228</v>
      </c>
      <c r="Z20">
        <f>Inputs!L102</f>
        <v>0</v>
      </c>
      <c r="AA20" t="s">
        <v>943</v>
      </c>
      <c r="AB20">
        <f>Inputs!M102</f>
        <v>0</v>
      </c>
      <c r="AC20" t="s">
        <v>1214</v>
      </c>
      <c r="AD20">
        <f>Inputs!E103</f>
        <v>0</v>
      </c>
      <c r="AE20" t="s">
        <v>957</v>
      </c>
      <c r="AF20">
        <f>Inputs!F103</f>
        <v>0</v>
      </c>
      <c r="AG20" t="s">
        <v>104</v>
      </c>
      <c r="AH20">
        <f>Inputs!G103</f>
        <v>0</v>
      </c>
      <c r="AI20" t="s">
        <v>1225</v>
      </c>
      <c r="AJ20">
        <f>Inputs!H103</f>
        <v>0</v>
      </c>
      <c r="AK20" t="s">
        <v>1467</v>
      </c>
      <c r="AL20">
        <f>Inputs!J103</f>
        <v>0</v>
      </c>
      <c r="AM20" t="s">
        <v>1314</v>
      </c>
      <c r="AN20">
        <f>Inputs!K103</f>
        <v>0</v>
      </c>
      <c r="AO20" t="s">
        <v>1540</v>
      </c>
      <c r="AP20">
        <f>Inputs!L103</f>
        <v>0</v>
      </c>
      <c r="AQ20" t="s">
        <v>51</v>
      </c>
      <c r="AR20">
        <f>Inputs!M103</f>
        <v>0</v>
      </c>
      <c r="AS20" t="s">
        <v>219</v>
      </c>
      <c r="AT20">
        <f>Inputs!E104</f>
        <v>0</v>
      </c>
      <c r="AU20" t="s">
        <v>292</v>
      </c>
      <c r="AV20">
        <f>Inputs!F104</f>
        <v>0</v>
      </c>
      <c r="AW20" t="s">
        <v>1268</v>
      </c>
      <c r="AX20">
        <f>Inputs!G104</f>
        <v>0</v>
      </c>
      <c r="AY20" t="s">
        <v>1144</v>
      </c>
      <c r="AZ20">
        <f>Inputs!H104</f>
        <v>0</v>
      </c>
      <c r="BA20" t="s">
        <v>18</v>
      </c>
      <c r="BB20">
        <f>Inputs!J104</f>
        <v>0</v>
      </c>
      <c r="BC20" t="s">
        <v>1405</v>
      </c>
      <c r="BD20">
        <f>Inputs!K104</f>
        <v>0</v>
      </c>
      <c r="BE20" t="s">
        <v>1406</v>
      </c>
      <c r="BF20">
        <f>Inputs!L104</f>
        <v>0</v>
      </c>
      <c r="BG20" t="s">
        <v>1587</v>
      </c>
      <c r="BH20">
        <f>Inputs!M104</f>
        <v>0</v>
      </c>
      <c r="BI20" t="s">
        <v>796</v>
      </c>
      <c r="BJ20">
        <f>Inputs!E108</f>
        <v>0</v>
      </c>
      <c r="BK20" t="s">
        <v>417</v>
      </c>
      <c r="BL20">
        <f>Inputs!G108</f>
        <v>0</v>
      </c>
    </row>
    <row r="21" spans="1:64" ht="12.75" customHeight="1" x14ac:dyDescent="0.2">
      <c r="A21" t="s">
        <v>1178</v>
      </c>
      <c r="B21">
        <f>Inputs!H108</f>
        <v>0</v>
      </c>
      <c r="C21" t="s">
        <v>1165</v>
      </c>
      <c r="D21">
        <f>Inputs!I108</f>
        <v>0</v>
      </c>
      <c r="E21" t="s">
        <v>1286</v>
      </c>
      <c r="F21">
        <f>Inputs!J108</f>
        <v>0</v>
      </c>
      <c r="G21" t="s">
        <v>721</v>
      </c>
      <c r="H21">
        <f>Inputs!L108</f>
        <v>0</v>
      </c>
      <c r="I21" t="s">
        <v>1515</v>
      </c>
      <c r="J21">
        <f>Inputs!M108</f>
        <v>0</v>
      </c>
      <c r="K21" t="s">
        <v>147</v>
      </c>
      <c r="L21">
        <f>Inputs!N108</f>
        <v>0</v>
      </c>
      <c r="M21" t="s">
        <v>1258</v>
      </c>
      <c r="N21">
        <f>Inputs!O108</f>
        <v>0</v>
      </c>
      <c r="O21" t="s">
        <v>450</v>
      </c>
      <c r="P21" t="str">
        <f>Inputs!E116</f>
        <v>Direct</v>
      </c>
      <c r="Q21" t="s">
        <v>1593</v>
      </c>
      <c r="R21">
        <f>Inputs!E121</f>
        <v>0.15</v>
      </c>
      <c r="S21" t="s">
        <v>1079</v>
      </c>
      <c r="T21">
        <f>Inputs!G121</f>
        <v>0.15</v>
      </c>
      <c r="U21" t="s">
        <v>1313</v>
      </c>
      <c r="V21">
        <f>Inputs!H121</f>
        <v>0.15</v>
      </c>
      <c r="W21" t="s">
        <v>777</v>
      </c>
      <c r="X21">
        <f>Inputs!I121</f>
        <v>0.15</v>
      </c>
      <c r="Y21" t="s">
        <v>30</v>
      </c>
      <c r="Z21">
        <f>Inputs!J121</f>
        <v>0.15</v>
      </c>
      <c r="AA21" t="s">
        <v>1421</v>
      </c>
      <c r="AB21">
        <f>Inputs!L121</f>
        <v>0.15</v>
      </c>
      <c r="AC21" t="s">
        <v>668</v>
      </c>
      <c r="AD21">
        <f>Inputs!M121</f>
        <v>0.15</v>
      </c>
      <c r="AE21" t="s">
        <v>75</v>
      </c>
      <c r="AF21">
        <f>Inputs!N121</f>
        <v>0.15</v>
      </c>
      <c r="AG21" t="s">
        <v>321</v>
      </c>
      <c r="AH21">
        <f>Inputs!O121</f>
        <v>0.15</v>
      </c>
      <c r="AI21" t="s">
        <v>1242</v>
      </c>
      <c r="AJ21">
        <f>Inputs!E122</f>
        <v>0.15</v>
      </c>
      <c r="AK21" t="s">
        <v>1536</v>
      </c>
      <c r="AL21">
        <f>Inputs!G122</f>
        <v>0.15</v>
      </c>
      <c r="AM21" t="s">
        <v>634</v>
      </c>
      <c r="AN21">
        <f>Inputs!H122</f>
        <v>0.15</v>
      </c>
      <c r="AO21" t="s">
        <v>499</v>
      </c>
      <c r="AP21">
        <f>Inputs!I122</f>
        <v>0.15</v>
      </c>
      <c r="AQ21" t="s">
        <v>565</v>
      </c>
      <c r="AR21">
        <f>Inputs!J122</f>
        <v>0.15</v>
      </c>
      <c r="AS21" t="s">
        <v>979</v>
      </c>
      <c r="AT21">
        <f>Inputs!L122</f>
        <v>0.15</v>
      </c>
      <c r="AU21" t="s">
        <v>1372</v>
      </c>
      <c r="AV21">
        <f>Inputs!M122</f>
        <v>0.15</v>
      </c>
      <c r="AW21" t="s">
        <v>1219</v>
      </c>
      <c r="AX21">
        <f>Inputs!N122</f>
        <v>0.15</v>
      </c>
      <c r="AY21" t="s">
        <v>901</v>
      </c>
      <c r="AZ21">
        <f>Inputs!O122</f>
        <v>0.15</v>
      </c>
      <c r="BA21" t="s">
        <v>718</v>
      </c>
      <c r="BB21">
        <f>Inputs!E126</f>
        <v>1</v>
      </c>
      <c r="BC21" t="s">
        <v>1277</v>
      </c>
      <c r="BD21">
        <f>Inputs!E127</f>
        <v>1</v>
      </c>
      <c r="BE21" t="s">
        <v>985</v>
      </c>
      <c r="BF21">
        <f>Inputs!E130</f>
        <v>0.04</v>
      </c>
      <c r="BG21" t="s">
        <v>1543</v>
      </c>
      <c r="BH21">
        <f>Inputs!G130</f>
        <v>0.04</v>
      </c>
      <c r="BI21" t="s">
        <v>770</v>
      </c>
      <c r="BJ21">
        <f>Inputs!H130</f>
        <v>0.04</v>
      </c>
      <c r="BK21" t="s">
        <v>1462</v>
      </c>
      <c r="BL21">
        <f>Inputs!I130</f>
        <v>0.04</v>
      </c>
    </row>
    <row r="22" spans="1:64" ht="12.75" customHeight="1" x14ac:dyDescent="0.2">
      <c r="A22" t="s">
        <v>938</v>
      </c>
      <c r="B22">
        <f>Inputs!J130</f>
        <v>0.04</v>
      </c>
      <c r="C22" t="s">
        <v>1198</v>
      </c>
      <c r="D22">
        <f>Inputs!L130</f>
        <v>0.04</v>
      </c>
      <c r="E22" t="s">
        <v>1478</v>
      </c>
      <c r="F22">
        <f>Inputs!M130</f>
        <v>0.04</v>
      </c>
      <c r="G22" t="s">
        <v>1249</v>
      </c>
      <c r="H22">
        <f>Inputs!N130</f>
        <v>0.04</v>
      </c>
      <c r="I22" t="s">
        <v>1555</v>
      </c>
      <c r="J22">
        <f>Inputs!O130</f>
        <v>0.04</v>
      </c>
      <c r="K22" t="s">
        <v>365</v>
      </c>
      <c r="L22">
        <f>Inputs!E132</f>
        <v>5.5E-2</v>
      </c>
      <c r="M22" t="s">
        <v>1014</v>
      </c>
      <c r="N22">
        <f>Inputs!G132</f>
        <v>5.5E-2</v>
      </c>
      <c r="O22" t="s">
        <v>1076</v>
      </c>
      <c r="P22">
        <f>Inputs!H132</f>
        <v>5.5E-2</v>
      </c>
      <c r="Q22" t="s">
        <v>479</v>
      </c>
      <c r="R22">
        <f>Inputs!I132</f>
        <v>5.5E-2</v>
      </c>
      <c r="S22" t="s">
        <v>574</v>
      </c>
      <c r="T22">
        <f>Inputs!J132</f>
        <v>5.5E-2</v>
      </c>
      <c r="U22" t="s">
        <v>1454</v>
      </c>
      <c r="V22">
        <f>Inputs!L132</f>
        <v>5.5E-2</v>
      </c>
      <c r="W22" t="s">
        <v>1584</v>
      </c>
      <c r="X22">
        <f>Inputs!M132</f>
        <v>5.5E-2</v>
      </c>
      <c r="Y22" t="s">
        <v>213</v>
      </c>
      <c r="Z22">
        <f>Inputs!N132</f>
        <v>5.5E-2</v>
      </c>
      <c r="AA22" t="s">
        <v>1375</v>
      </c>
      <c r="AB22">
        <f>Inputs!O132</f>
        <v>5.5E-2</v>
      </c>
      <c r="AC22" t="s">
        <v>1056</v>
      </c>
      <c r="AD22">
        <f>Inputs!E139</f>
        <v>1</v>
      </c>
      <c r="AE22" t="s">
        <v>760</v>
      </c>
      <c r="AF22">
        <f>Inputs!E144</f>
        <v>1</v>
      </c>
      <c r="AG22" t="s">
        <v>867</v>
      </c>
      <c r="AH22">
        <f>Inputs!F144</f>
        <v>0</v>
      </c>
      <c r="AI22" t="s">
        <v>349</v>
      </c>
      <c r="AJ22">
        <f>Inputs!G144</f>
        <v>0</v>
      </c>
      <c r="AK22" t="s">
        <v>585</v>
      </c>
      <c r="AL22">
        <f>Inputs!E145</f>
        <v>1</v>
      </c>
      <c r="AM22" t="s">
        <v>843</v>
      </c>
      <c r="AN22">
        <f>Inputs!F145</f>
        <v>0</v>
      </c>
      <c r="AO22" t="s">
        <v>279</v>
      </c>
      <c r="AP22">
        <f>Inputs!G145</f>
        <v>0</v>
      </c>
      <c r="AQ22" t="s">
        <v>922</v>
      </c>
      <c r="AR22">
        <f>Inputs!E146</f>
        <v>1</v>
      </c>
      <c r="AS22" t="s">
        <v>933</v>
      </c>
      <c r="AT22">
        <f>Inputs!F146</f>
        <v>0</v>
      </c>
      <c r="AU22" t="s">
        <v>755</v>
      </c>
      <c r="AV22">
        <f>Inputs!G146</f>
        <v>0</v>
      </c>
      <c r="AW22" t="s">
        <v>1080</v>
      </c>
      <c r="AX22">
        <f>Inputs!E147</f>
        <v>1</v>
      </c>
      <c r="AY22" t="s">
        <v>443</v>
      </c>
      <c r="AZ22">
        <f>Inputs!F147</f>
        <v>0</v>
      </c>
      <c r="BA22" t="s">
        <v>1010</v>
      </c>
      <c r="BB22">
        <f>Inputs!G147</f>
        <v>0</v>
      </c>
      <c r="BC22" t="s">
        <v>1193</v>
      </c>
      <c r="BD22">
        <f>Inputs!E148</f>
        <v>1</v>
      </c>
      <c r="BE22" t="s">
        <v>1420</v>
      </c>
      <c r="BF22">
        <f>Inputs!F148</f>
        <v>0</v>
      </c>
      <c r="BG22" t="s">
        <v>1167</v>
      </c>
      <c r="BH22">
        <f>Inputs!G148</f>
        <v>0</v>
      </c>
      <c r="BI22" t="s">
        <v>57</v>
      </c>
      <c r="BJ22">
        <f>Inputs!E149</f>
        <v>1</v>
      </c>
      <c r="BK22" t="s">
        <v>793</v>
      </c>
      <c r="BL22">
        <f>Inputs!F149</f>
        <v>0</v>
      </c>
    </row>
    <row r="23" spans="1:64" ht="12.75" customHeight="1" x14ac:dyDescent="0.2">
      <c r="A23" t="s">
        <v>254</v>
      </c>
      <c r="B23">
        <f>Inputs!G149</f>
        <v>0</v>
      </c>
      <c r="C23" t="s">
        <v>1060</v>
      </c>
      <c r="D23">
        <f>Inputs!E150</f>
        <v>1</v>
      </c>
      <c r="E23" t="s">
        <v>1440</v>
      </c>
      <c r="F23">
        <f>Inputs!F150</f>
        <v>0</v>
      </c>
      <c r="G23" t="s">
        <v>573</v>
      </c>
      <c r="H23">
        <f>Inputs!G150</f>
        <v>0</v>
      </c>
      <c r="I23" t="s">
        <v>466</v>
      </c>
      <c r="J23">
        <f>Inputs!E151</f>
        <v>1</v>
      </c>
      <c r="K23" t="s">
        <v>1322</v>
      </c>
      <c r="L23">
        <f>Inputs!F151</f>
        <v>0</v>
      </c>
      <c r="M23" t="s">
        <v>580</v>
      </c>
      <c r="N23">
        <f>Inputs!G151</f>
        <v>0</v>
      </c>
      <c r="O23" t="s">
        <v>1575</v>
      </c>
      <c r="P23">
        <f>Inputs!E152</f>
        <v>1</v>
      </c>
      <c r="Q23" t="s">
        <v>1066</v>
      </c>
      <c r="R23">
        <f>Inputs!F152</f>
        <v>0</v>
      </c>
      <c r="S23" t="s">
        <v>1504</v>
      </c>
      <c r="T23">
        <f>Inputs!G152</f>
        <v>0</v>
      </c>
      <c r="U23" t="s">
        <v>1024</v>
      </c>
      <c r="V23">
        <f>Inputs!E153</f>
        <v>1</v>
      </c>
      <c r="W23" t="s">
        <v>39</v>
      </c>
      <c r="X23">
        <f>Inputs!F153</f>
        <v>0</v>
      </c>
      <c r="Y23" t="s">
        <v>272</v>
      </c>
      <c r="Z23">
        <f>Inputs!G153</f>
        <v>0</v>
      </c>
      <c r="AA23" t="s">
        <v>1571</v>
      </c>
      <c r="AB23">
        <f>Inputs!E154</f>
        <v>1</v>
      </c>
      <c r="AC23" t="s">
        <v>436</v>
      </c>
      <c r="AD23">
        <f>Inputs!F154</f>
        <v>0</v>
      </c>
      <c r="AE23" t="s">
        <v>914</v>
      </c>
      <c r="AF23">
        <f>Inputs!G154</f>
        <v>0</v>
      </c>
      <c r="AG23" t="s">
        <v>468</v>
      </c>
      <c r="AH23">
        <f>Inputs!E155</f>
        <v>1</v>
      </c>
      <c r="AI23" t="s">
        <v>413</v>
      </c>
      <c r="AJ23">
        <f>Inputs!F155</f>
        <v>0</v>
      </c>
      <c r="AK23" t="s">
        <v>1081</v>
      </c>
      <c r="AL23">
        <f>Inputs!G155</f>
        <v>0</v>
      </c>
      <c r="AM23" t="s">
        <v>382</v>
      </c>
      <c r="AN23">
        <f>Inputs!E161</f>
        <v>0.1</v>
      </c>
      <c r="AO23" t="s">
        <v>130</v>
      </c>
      <c r="AP23">
        <f>Inputs!G161</f>
        <v>0.1</v>
      </c>
      <c r="AQ23" t="s">
        <v>191</v>
      </c>
      <c r="AR23">
        <f>Inputs!H161</f>
        <v>0.1</v>
      </c>
      <c r="AS23" t="s">
        <v>285</v>
      </c>
      <c r="AT23">
        <f>Inputs!I161</f>
        <v>0.1</v>
      </c>
      <c r="AU23" t="s">
        <v>1092</v>
      </c>
      <c r="AV23">
        <f>Inputs!J161</f>
        <v>0.1</v>
      </c>
      <c r="AW23" t="s">
        <v>432</v>
      </c>
      <c r="AX23">
        <f>Inputs!L161</f>
        <v>0.1</v>
      </c>
      <c r="AY23" t="s">
        <v>1089</v>
      </c>
      <c r="AZ23">
        <f>Inputs!M161</f>
        <v>0.1</v>
      </c>
      <c r="BA23" t="s">
        <v>698</v>
      </c>
      <c r="BB23">
        <f>Inputs!N161</f>
        <v>0.1</v>
      </c>
      <c r="BC23" t="s">
        <v>1367</v>
      </c>
      <c r="BD23">
        <f>Inputs!O161</f>
        <v>0.1</v>
      </c>
      <c r="BE23" t="s">
        <v>1404</v>
      </c>
      <c r="BF23">
        <f>Inputs!E162</f>
        <v>0.1</v>
      </c>
      <c r="BG23" t="s">
        <v>752</v>
      </c>
      <c r="BH23">
        <f>Inputs!G162</f>
        <v>0.1</v>
      </c>
      <c r="BI23" t="s">
        <v>1070</v>
      </c>
      <c r="BJ23">
        <f>Inputs!H162</f>
        <v>0.1</v>
      </c>
      <c r="BK23" t="s">
        <v>377</v>
      </c>
      <c r="BL23">
        <f>Inputs!I162</f>
        <v>0.1</v>
      </c>
    </row>
    <row r="24" spans="1:64" ht="12.75" customHeight="1" x14ac:dyDescent="0.2">
      <c r="A24" t="s">
        <v>873</v>
      </c>
      <c r="B24">
        <f>Inputs!J162</f>
        <v>0.1</v>
      </c>
      <c r="C24" t="s">
        <v>20</v>
      </c>
      <c r="D24">
        <f>Inputs!L162</f>
        <v>0.1</v>
      </c>
      <c r="E24" t="s">
        <v>1380</v>
      </c>
      <c r="F24">
        <f>Inputs!M162</f>
        <v>0.1</v>
      </c>
      <c r="G24" t="s">
        <v>1458</v>
      </c>
      <c r="H24">
        <f>Inputs!N162</f>
        <v>0.1</v>
      </c>
      <c r="I24" t="s">
        <v>654</v>
      </c>
      <c r="J24">
        <f>Inputs!O162</f>
        <v>0.1</v>
      </c>
      <c r="K24" t="s">
        <v>424</v>
      </c>
      <c r="L24">
        <f>Inputs!E163</f>
        <v>0.1</v>
      </c>
      <c r="M24" t="s">
        <v>924</v>
      </c>
      <c r="N24">
        <f>Inputs!G163</f>
        <v>0.1</v>
      </c>
      <c r="O24" t="s">
        <v>389</v>
      </c>
      <c r="P24">
        <f>Inputs!H163</f>
        <v>0.1</v>
      </c>
      <c r="Q24" t="s">
        <v>863</v>
      </c>
      <c r="R24">
        <f>Inputs!I163</f>
        <v>0.1</v>
      </c>
      <c r="S24" t="s">
        <v>1496</v>
      </c>
      <c r="T24">
        <f>Inputs!J163</f>
        <v>0.1</v>
      </c>
      <c r="U24" t="s">
        <v>965</v>
      </c>
      <c r="V24">
        <f>Inputs!L163</f>
        <v>0.1</v>
      </c>
      <c r="W24" t="s">
        <v>102</v>
      </c>
      <c r="X24">
        <f>Inputs!M163</f>
        <v>0.1</v>
      </c>
      <c r="Y24" t="s">
        <v>340</v>
      </c>
      <c r="Z24">
        <f>Inputs!N163</f>
        <v>0.1</v>
      </c>
      <c r="AA24" t="s">
        <v>253</v>
      </c>
      <c r="AB24">
        <f>Inputs!O163</f>
        <v>0.1</v>
      </c>
      <c r="AC24" t="s">
        <v>795</v>
      </c>
      <c r="AD24">
        <f>Inputs!E164</f>
        <v>0.1</v>
      </c>
      <c r="AE24" t="s">
        <v>526</v>
      </c>
      <c r="AF24">
        <f>Inputs!G164</f>
        <v>0.1</v>
      </c>
      <c r="AG24" t="s">
        <v>1402</v>
      </c>
      <c r="AH24">
        <f>Inputs!H164</f>
        <v>0.1</v>
      </c>
      <c r="AI24" t="s">
        <v>6</v>
      </c>
      <c r="AJ24">
        <f>Inputs!I164</f>
        <v>0.1</v>
      </c>
      <c r="AK24" t="s">
        <v>506</v>
      </c>
      <c r="AL24">
        <f>Inputs!J164</f>
        <v>0.1</v>
      </c>
      <c r="AM24" t="s">
        <v>861</v>
      </c>
      <c r="AN24">
        <f>Inputs!L164</f>
        <v>0.1</v>
      </c>
      <c r="AO24" t="s">
        <v>357</v>
      </c>
      <c r="AP24">
        <f>Inputs!M164</f>
        <v>0.1</v>
      </c>
      <c r="AQ24" t="s">
        <v>1166</v>
      </c>
      <c r="AR24">
        <f>Inputs!N164</f>
        <v>0.1</v>
      </c>
      <c r="AS24" t="s">
        <v>444</v>
      </c>
      <c r="AT24">
        <f>Inputs!O164</f>
        <v>0.1</v>
      </c>
      <c r="AU24" t="s">
        <v>1527</v>
      </c>
      <c r="AV24">
        <f>Inputs!E167</f>
        <v>0</v>
      </c>
      <c r="AW24" t="s">
        <v>449</v>
      </c>
      <c r="AX24">
        <f>Inputs!F167</f>
        <v>0</v>
      </c>
      <c r="AY24" t="s">
        <v>552</v>
      </c>
      <c r="AZ24">
        <f>Inputs!E168</f>
        <v>0</v>
      </c>
      <c r="BA24" t="s">
        <v>1318</v>
      </c>
      <c r="BB24">
        <f>Inputs!F168</f>
        <v>0</v>
      </c>
      <c r="BC24" t="s">
        <v>1034</v>
      </c>
      <c r="BD24">
        <f>Inputs!E176</f>
        <v>0</v>
      </c>
      <c r="BE24" t="s">
        <v>423</v>
      </c>
      <c r="BF24">
        <f>Inputs!G176</f>
        <v>0</v>
      </c>
      <c r="BG24" t="s">
        <v>850</v>
      </c>
      <c r="BH24">
        <f>Inputs!H176</f>
        <v>0</v>
      </c>
      <c r="BI24" t="s">
        <v>1210</v>
      </c>
      <c r="BJ24">
        <f>Inputs!I176</f>
        <v>0</v>
      </c>
      <c r="BK24" t="s">
        <v>1542</v>
      </c>
      <c r="BL24">
        <f>Inputs!J176</f>
        <v>0</v>
      </c>
    </row>
    <row r="25" spans="1:64" ht="12.75" customHeight="1" x14ac:dyDescent="0.2">
      <c r="A25" t="s">
        <v>592</v>
      </c>
      <c r="B25">
        <f>Inputs!L176</f>
        <v>0</v>
      </c>
      <c r="C25" t="s">
        <v>675</v>
      </c>
      <c r="D25">
        <f>Inputs!M176</f>
        <v>0</v>
      </c>
      <c r="E25" t="s">
        <v>679</v>
      </c>
      <c r="F25">
        <f>Inputs!N176</f>
        <v>0</v>
      </c>
      <c r="G25" t="s">
        <v>1479</v>
      </c>
      <c r="H25">
        <f>Inputs!O176</f>
        <v>0</v>
      </c>
      <c r="I25" t="s">
        <v>157</v>
      </c>
      <c r="J25">
        <f>Inputs!E177</f>
        <v>0</v>
      </c>
      <c r="K25" t="s">
        <v>1369</v>
      </c>
      <c r="L25">
        <f>Inputs!G177</f>
        <v>0</v>
      </c>
      <c r="M25" t="s">
        <v>124</v>
      </c>
      <c r="N25">
        <f>Inputs!H177</f>
        <v>0</v>
      </c>
      <c r="O25" t="s">
        <v>4</v>
      </c>
      <c r="P25">
        <f>Inputs!I177</f>
        <v>0</v>
      </c>
      <c r="Q25" t="s">
        <v>190</v>
      </c>
      <c r="R25">
        <f>Inputs!J177</f>
        <v>0</v>
      </c>
      <c r="S25" t="s">
        <v>338</v>
      </c>
      <c r="T25">
        <f>Inputs!L177</f>
        <v>0</v>
      </c>
      <c r="U25" t="s">
        <v>1358</v>
      </c>
      <c r="V25">
        <f>Inputs!M177</f>
        <v>0</v>
      </c>
      <c r="W25" t="s">
        <v>1229</v>
      </c>
      <c r="X25">
        <f>Inputs!N177</f>
        <v>0</v>
      </c>
      <c r="Y25" t="s">
        <v>350</v>
      </c>
      <c r="Z25">
        <f>Inputs!O177</f>
        <v>0</v>
      </c>
      <c r="AA25" t="s">
        <v>927</v>
      </c>
      <c r="AB25">
        <f>Inputs!E178</f>
        <v>0</v>
      </c>
      <c r="AC25" t="s">
        <v>997</v>
      </c>
      <c r="AD25">
        <f>Inputs!G178</f>
        <v>0</v>
      </c>
      <c r="AE25" t="s">
        <v>1019</v>
      </c>
      <c r="AF25">
        <f>Inputs!H178</f>
        <v>0</v>
      </c>
      <c r="AG25" t="s">
        <v>912</v>
      </c>
      <c r="AH25">
        <f>Inputs!I178</f>
        <v>0</v>
      </c>
      <c r="AI25" t="s">
        <v>1216</v>
      </c>
      <c r="AJ25">
        <f>Inputs!J178</f>
        <v>0</v>
      </c>
      <c r="AK25" t="s">
        <v>1069</v>
      </c>
      <c r="AL25">
        <f>Inputs!L178</f>
        <v>0</v>
      </c>
      <c r="AM25" t="s">
        <v>782</v>
      </c>
      <c r="AN25">
        <f>Inputs!M178</f>
        <v>0</v>
      </c>
      <c r="AO25" t="s">
        <v>1390</v>
      </c>
      <c r="AP25">
        <f>Inputs!N178</f>
        <v>0</v>
      </c>
      <c r="AQ25" t="s">
        <v>1279</v>
      </c>
      <c r="AR25">
        <f>Inputs!O178</f>
        <v>0</v>
      </c>
      <c r="AS25" t="s">
        <v>1449</v>
      </c>
      <c r="AT25">
        <f>Inputs!E179</f>
        <v>0</v>
      </c>
      <c r="AU25" t="s">
        <v>862</v>
      </c>
      <c r="AV25">
        <f>Inputs!G179</f>
        <v>0</v>
      </c>
      <c r="AW25" t="s">
        <v>537</v>
      </c>
      <c r="AX25">
        <f>Inputs!H179</f>
        <v>0</v>
      </c>
      <c r="AY25" t="s">
        <v>1409</v>
      </c>
      <c r="AZ25">
        <f>Inputs!I179</f>
        <v>0</v>
      </c>
      <c r="BA25" t="s">
        <v>1296</v>
      </c>
      <c r="BB25">
        <f>Inputs!J179</f>
        <v>0</v>
      </c>
      <c r="BC25" t="s">
        <v>1356</v>
      </c>
      <c r="BD25">
        <f>Inputs!L179</f>
        <v>0</v>
      </c>
      <c r="BE25" t="s">
        <v>685</v>
      </c>
      <c r="BF25">
        <f>Inputs!M179</f>
        <v>0</v>
      </c>
      <c r="BG25" t="s">
        <v>1572</v>
      </c>
      <c r="BH25">
        <f>Inputs!N179</f>
        <v>0</v>
      </c>
      <c r="BI25" t="s">
        <v>348</v>
      </c>
      <c r="BJ25">
        <f>Inputs!O179</f>
        <v>0</v>
      </c>
      <c r="BK25" t="s">
        <v>1047</v>
      </c>
      <c r="BL25">
        <f>Inputs!E182</f>
        <v>0</v>
      </c>
    </row>
    <row r="26" spans="1:64" ht="12.75" customHeight="1" x14ac:dyDescent="0.2">
      <c r="A26" t="s">
        <v>1568</v>
      </c>
      <c r="B26">
        <f>Inputs!F182</f>
        <v>0</v>
      </c>
      <c r="C26" t="s">
        <v>1422</v>
      </c>
      <c r="D26">
        <f>Inputs!E183</f>
        <v>0</v>
      </c>
      <c r="E26" t="s">
        <v>898</v>
      </c>
      <c r="F26">
        <f>Inputs!F183</f>
        <v>0</v>
      </c>
      <c r="G26" t="s">
        <v>329</v>
      </c>
      <c r="H26">
        <f>Inputs!E188</f>
        <v>0</v>
      </c>
      <c r="I26" t="s">
        <v>616</v>
      </c>
      <c r="J26">
        <f>Inputs!E189</f>
        <v>0</v>
      </c>
      <c r="K26" t="s">
        <v>142</v>
      </c>
      <c r="L26">
        <f>Inputs!E191</f>
        <v>0</v>
      </c>
      <c r="M26" t="s">
        <v>280</v>
      </c>
      <c r="N26">
        <f>Inputs!E192</f>
        <v>0</v>
      </c>
      <c r="O26" t="s">
        <v>1067</v>
      </c>
      <c r="P26">
        <f>Inputs!E199</f>
        <v>0.15</v>
      </c>
      <c r="Q26" t="s">
        <v>311</v>
      </c>
      <c r="R26">
        <f>Inputs!E200</f>
        <v>0</v>
      </c>
      <c r="S26" t="s">
        <v>658</v>
      </c>
      <c r="T26">
        <f>Inputs!E202</f>
        <v>0</v>
      </c>
      <c r="U26" t="s">
        <v>1250</v>
      </c>
      <c r="V26">
        <f>Inputs!E203</f>
        <v>0</v>
      </c>
      <c r="W26" t="s">
        <v>653</v>
      </c>
      <c r="X26">
        <f>Inputs!E204</f>
        <v>0</v>
      </c>
      <c r="Y26" t="s">
        <v>1283</v>
      </c>
      <c r="Z26">
        <f>Inputs!E205</f>
        <v>0</v>
      </c>
    </row>
  </sheetData>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9.140625" defaultRowHeight="12.75" x14ac:dyDescent="0.2"/>
  <sheetData>
    <row r="1" ht="12.75" customHeight="1" x14ac:dyDescent="0.2"/>
  </sheetData>
  <printOptions horizontalCentered="1"/>
  <pageMargins left="0.25" right="0.25" top="0.5" bottom="0.5" header="0.3" footer="0.3"/>
  <pageSetup orientation="landscape"/>
  <headerFooter scaleWithDoc="0"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P208"/>
  <sheetViews>
    <sheetView zoomScaleNormal="100" workbookViewId="0"/>
  </sheetViews>
  <sheetFormatPr defaultRowHeight="12.75" customHeight="1" outlineLevelRow="3" x14ac:dyDescent="0.2"/>
  <cols>
    <col min="1" max="1" width="35.5703125" customWidth="1"/>
    <col min="2" max="4" width="16" customWidth="1"/>
    <col min="5" max="5" width="19.85546875" customWidth="1"/>
    <col min="6" max="6" width="17.85546875" customWidth="1"/>
    <col min="7" max="7" width="16" customWidth="1"/>
    <col min="8" max="8" width="18.140625" customWidth="1"/>
    <col min="9" max="9" width="16" customWidth="1"/>
    <col min="10" max="10" width="16.28515625" customWidth="1"/>
    <col min="11" max="11" width="18.28515625" customWidth="1"/>
    <col min="12" max="12" width="17.7109375" customWidth="1"/>
    <col min="13" max="16" width="16" customWidth="1"/>
  </cols>
  <sheetData>
    <row r="1" spans="1:12" ht="12.75" customHeight="1" x14ac:dyDescent="0.2">
      <c r="A1" s="270" t="str">
        <f>E7</f>
        <v>ModelSheet Software</v>
      </c>
      <c r="B1" s="270"/>
      <c r="C1" s="270"/>
      <c r="D1" s="270"/>
    </row>
    <row r="2" spans="1:12" ht="12.75" customHeight="1" x14ac:dyDescent="0.2">
      <c r="A2" s="270" t="str">
        <f>E9</f>
        <v>Project Test</v>
      </c>
      <c r="B2" s="270"/>
      <c r="C2" s="270"/>
      <c r="D2" s="270"/>
    </row>
    <row r="3" spans="1:12" ht="12.75" customHeight="1" x14ac:dyDescent="0.2">
      <c r="A3" s="270" t="str">
        <f>"Input Data"</f>
        <v>Input Data</v>
      </c>
      <c r="B3" s="270"/>
      <c r="C3" s="270"/>
      <c r="D3" s="270"/>
    </row>
    <row r="4" spans="1:12" ht="12.75" customHeight="1" x14ac:dyDescent="0.2">
      <c r="A4" s="270" t="str">
        <f>" "</f>
        <v xml:space="preserve"> </v>
      </c>
      <c r="B4" s="270"/>
      <c r="C4" s="270"/>
      <c r="D4" s="270"/>
    </row>
    <row r="5" spans="1:12" ht="12.75" customHeight="1" x14ac:dyDescent="0.2">
      <c r="A5" s="269" t="str">
        <f>"Shaded (blue) cells are input cells. You can enter data in them."</f>
        <v>Shaded (blue) cells are input cells. You can enter data in them.</v>
      </c>
      <c r="B5" s="269"/>
      <c r="C5" s="269"/>
      <c r="D5" s="269"/>
    </row>
    <row r="6" spans="1:12" ht="12.75" customHeight="1" x14ac:dyDescent="0.2">
      <c r="A6" s="269" t="str">
        <f>"Formulas in shaded cells are starting suggestions. You can overwrite them."</f>
        <v>Formulas in shaded cells are starting suggestions. You can overwrite them.</v>
      </c>
      <c r="B6" s="269"/>
      <c r="C6" s="269"/>
      <c r="D6" s="269"/>
    </row>
    <row r="7" spans="1:12" ht="12.75" customHeight="1" x14ac:dyDescent="0.2">
      <c r="A7" s="5" t="str">
        <f>Labels!B22</f>
        <v>Company Name</v>
      </c>
      <c r="B7" s="6"/>
      <c r="C7" s="6"/>
      <c r="D7" s="7"/>
      <c r="E7" s="8" t="s">
        <v>1098</v>
      </c>
    </row>
    <row r="8" spans="1:12" ht="12.75" customHeight="1" x14ac:dyDescent="0.2">
      <c r="A8" s="9"/>
      <c r="B8" s="10"/>
      <c r="C8" s="10"/>
      <c r="D8" s="11"/>
      <c r="E8" s="12"/>
    </row>
    <row r="9" spans="1:12" ht="12.75" customHeight="1" x14ac:dyDescent="0.2">
      <c r="A9" s="13" t="str">
        <f>Labels!B95</f>
        <v>Project Name</v>
      </c>
      <c r="B9" s="14"/>
      <c r="C9" s="14"/>
      <c r="D9" s="15"/>
      <c r="E9" s="16" t="s">
        <v>915</v>
      </c>
    </row>
    <row r="12" spans="1:12" ht="12.75" customHeight="1" x14ac:dyDescent="0.2">
      <c r="A12" s="271" t="str">
        <f>"Investment Input Data"</f>
        <v>Investment Input Data</v>
      </c>
      <c r="B12" s="271"/>
    </row>
    <row r="13" spans="1:12" ht="12.75" hidden="1" customHeight="1" outlineLevel="1" x14ac:dyDescent="0.2">
      <c r="A13" s="1" t="str">
        <f>""</f>
        <v/>
      </c>
    </row>
    <row r="14" spans="1:12" ht="12.75" hidden="1" customHeight="1" outlineLevel="1" x14ac:dyDescent="0.2">
      <c r="A14" s="272" t="str">
        <f>"Fixed Investment"</f>
        <v>Fixed Investment</v>
      </c>
      <c r="B14" s="272"/>
    </row>
    <row r="15" spans="1:12" ht="12.75" hidden="1" customHeight="1" outlineLevel="2" x14ac:dyDescent="0.2">
      <c r="A15" s="272" t="str">
        <f>""</f>
        <v/>
      </c>
      <c r="B15" s="272"/>
    </row>
    <row r="16" spans="1:12" ht="12.75" hidden="1" customHeight="1" outlineLevel="2" x14ac:dyDescent="0.2">
      <c r="E16" s="17" t="str">
        <f>Labels!B75</f>
        <v>Name</v>
      </c>
      <c r="F16" s="18" t="str">
        <f>Labels!B65</f>
        <v>Investment Date</v>
      </c>
      <c r="G16" s="18" t="str">
        <f>Labels!B37</f>
        <v>Deprec Method</v>
      </c>
      <c r="H16" s="18" t="str">
        <f>Labels!B38</f>
        <v>Tax Deprec Method</v>
      </c>
      <c r="I16" s="18" t="str">
        <f>Labels!B72</f>
        <v>Deprec Life (Yr)</v>
      </c>
      <c r="J16" s="18" t="str">
        <f>Labels!B74</f>
        <v>Physical Life (Yr)</v>
      </c>
      <c r="K16" s="18" t="str">
        <f>Labels!B79</f>
        <v>Invest Tax Credit %</v>
      </c>
      <c r="L16" s="19" t="str">
        <f>Labels!B77</f>
        <v>Tax Credit Date</v>
      </c>
    </row>
    <row r="17" spans="1:12" ht="12.75" hidden="1" customHeight="1" outlineLevel="2" x14ac:dyDescent="0.2">
      <c r="A17" s="5" t="str">
        <f>Labels!B182</f>
        <v>Catamarans</v>
      </c>
      <c r="B17" s="20" t="str">
        <f>Labels!B170</f>
        <v>Invest 1</v>
      </c>
      <c r="C17" s="20"/>
      <c r="D17" s="21"/>
      <c r="E17" s="22" t="str">
        <f>Labels!B182&amp;" Inv "&amp;1</f>
        <v>Catamarans Inv 1</v>
      </c>
      <c r="F17" s="23">
        <f>DATE(YEAR('(FnCalls 1)'!A7),MONTH('(FnCalls 1)'!A7)+ROUND(1/0.333333333333333+(-1)/0.333333333333333,0),DAY('(FnCalls 1)'!A7)-1)</f>
        <v>40543</v>
      </c>
      <c r="G17" s="22" t="str">
        <f t="shared" ref="G17:H20" si="0">"Linear"</f>
        <v>Linear</v>
      </c>
      <c r="H17" s="22" t="str">
        <f t="shared" si="0"/>
        <v>Linear</v>
      </c>
      <c r="I17" s="24">
        <f>3</f>
        <v>3</v>
      </c>
      <c r="J17" s="24">
        <f>8</f>
        <v>8</v>
      </c>
      <c r="K17" s="25">
        <f>0</f>
        <v>0</v>
      </c>
      <c r="L17" s="26">
        <f>F17</f>
        <v>40543</v>
      </c>
    </row>
    <row r="18" spans="1:12" ht="12.75" hidden="1" customHeight="1" outlineLevel="2" x14ac:dyDescent="0.2">
      <c r="A18" s="27"/>
      <c r="B18" s="28" t="str">
        <f>Labels!B171</f>
        <v>Invest 2</v>
      </c>
      <c r="C18" s="28"/>
      <c r="D18" s="29"/>
      <c r="E18" s="30" t="str">
        <f>Labels!B182&amp;" Inv "&amp;2</f>
        <v>Catamarans Inv 2</v>
      </c>
      <c r="F18" s="31">
        <f>DATE(YEAR('(FnCalls 1)'!A7),MONTH('(FnCalls 1)'!A7)+ROUND(1/0.333333333333333+(-1)/0.333333333333333,0),DAY('(FnCalls 1)'!A7)-1)</f>
        <v>40543</v>
      </c>
      <c r="G18" s="30" t="str">
        <f t="shared" si="0"/>
        <v>Linear</v>
      </c>
      <c r="H18" s="30" t="str">
        <f t="shared" si="0"/>
        <v>Linear</v>
      </c>
      <c r="I18" s="32">
        <f>3</f>
        <v>3</v>
      </c>
      <c r="J18" s="32">
        <f>8</f>
        <v>8</v>
      </c>
      <c r="K18" s="33">
        <f>0</f>
        <v>0</v>
      </c>
      <c r="L18" s="34">
        <f>F18</f>
        <v>40543</v>
      </c>
    </row>
    <row r="19" spans="1:12" ht="12.75" hidden="1" customHeight="1" outlineLevel="2" x14ac:dyDescent="0.2">
      <c r="A19" s="27" t="str">
        <f>Labels!B183</f>
        <v>Canoes</v>
      </c>
      <c r="B19" s="28" t="str">
        <f>Labels!B170</f>
        <v>Invest 1</v>
      </c>
      <c r="C19" s="28"/>
      <c r="D19" s="29"/>
      <c r="E19" s="30" t="str">
        <f>Labels!B183&amp;" Inv "&amp;1</f>
        <v>Canoes Inv 1</v>
      </c>
      <c r="F19" s="31">
        <f>DATE(YEAR('(FnCalls 1)'!A7),MONTH('(FnCalls 1)'!A7)+ROUND(2/0.333333333333333+(-1)/0.333333333333333,0),DAY('(FnCalls 1)'!A7)-1)</f>
        <v>40633</v>
      </c>
      <c r="G19" s="30" t="str">
        <f t="shared" si="0"/>
        <v>Linear</v>
      </c>
      <c r="H19" s="30" t="str">
        <f t="shared" si="0"/>
        <v>Linear</v>
      </c>
      <c r="I19" s="32">
        <f>3</f>
        <v>3</v>
      </c>
      <c r="J19" s="32">
        <f>8</f>
        <v>8</v>
      </c>
      <c r="K19" s="33">
        <f>0</f>
        <v>0</v>
      </c>
      <c r="L19" s="34">
        <f>F19</f>
        <v>40633</v>
      </c>
    </row>
    <row r="20" spans="1:12" ht="12.75" hidden="1" customHeight="1" outlineLevel="2" x14ac:dyDescent="0.2">
      <c r="A20" s="13"/>
      <c r="B20" s="35" t="str">
        <f>Labels!B171</f>
        <v>Invest 2</v>
      </c>
      <c r="C20" s="35"/>
      <c r="D20" s="36"/>
      <c r="E20" s="37" t="str">
        <f>Labels!B183&amp;" Inv "&amp;2</f>
        <v>Canoes Inv 2</v>
      </c>
      <c r="F20" s="38">
        <f>DATE(YEAR('(FnCalls 1)'!A7),MONTH('(FnCalls 1)'!A7)+ROUND(2/0.333333333333333+(-1)/0.333333333333333,0),DAY('(FnCalls 1)'!A7)-1)</f>
        <v>40633</v>
      </c>
      <c r="G20" s="37" t="str">
        <f t="shared" si="0"/>
        <v>Linear</v>
      </c>
      <c r="H20" s="37" t="str">
        <f t="shared" si="0"/>
        <v>Linear</v>
      </c>
      <c r="I20" s="39">
        <f>3</f>
        <v>3</v>
      </c>
      <c r="J20" s="39">
        <f>8</f>
        <v>8</v>
      </c>
      <c r="K20" s="40">
        <f>0</f>
        <v>0</v>
      </c>
      <c r="L20" s="41">
        <f>F20</f>
        <v>40633</v>
      </c>
    </row>
    <row r="21" spans="1:12" ht="12.75" hidden="1" customHeight="1" outlineLevel="2" x14ac:dyDescent="0.2">
      <c r="A21" s="269" t="str">
        <f>"All investment dates should be &gt;= start of the time period before model time."</f>
        <v>All investment dates should be &gt;= start of the time period before model time.</v>
      </c>
      <c r="B21" s="269"/>
      <c r="C21" s="269"/>
      <c r="D21" s="269"/>
      <c r="E21" s="269"/>
      <c r="F21" s="269"/>
      <c r="G21" s="269"/>
      <c r="H21" s="269"/>
    </row>
    <row r="22" spans="1:12" ht="12.75" hidden="1" customHeight="1" outlineLevel="2" x14ac:dyDescent="0.2"/>
    <row r="23" spans="1:12" ht="12.75" hidden="1" customHeight="1" outlineLevel="2" x14ac:dyDescent="0.2">
      <c r="E23" s="17" t="str">
        <f>Labels!B67</f>
        <v>Fixed Investment</v>
      </c>
      <c r="F23" s="19" t="str">
        <f>Labels!B69</f>
        <v>Residual Value</v>
      </c>
    </row>
    <row r="24" spans="1:12" ht="12.75" hidden="1" customHeight="1" outlineLevel="2" x14ac:dyDescent="0.2">
      <c r="A24" s="5" t="str">
        <f>Labels!B166</f>
        <v>Depreciable</v>
      </c>
      <c r="B24" s="20" t="str">
        <f>Labels!B182</f>
        <v>Catamarans</v>
      </c>
      <c r="C24" s="42" t="str">
        <f>Labels!B170</f>
        <v>Invest 1</v>
      </c>
      <c r="D24" s="43"/>
      <c r="E24" s="44">
        <f>0</f>
        <v>0</v>
      </c>
      <c r="F24" s="45">
        <f>0</f>
        <v>0</v>
      </c>
    </row>
    <row r="25" spans="1:12" ht="12.75" hidden="1" customHeight="1" outlineLevel="2" x14ac:dyDescent="0.2">
      <c r="A25" s="27"/>
      <c r="B25" s="28"/>
      <c r="C25" s="46" t="str">
        <f>Labels!B171</f>
        <v>Invest 2</v>
      </c>
      <c r="D25" s="47"/>
      <c r="E25" s="48">
        <f>0</f>
        <v>0</v>
      </c>
      <c r="F25" s="49">
        <f>0</f>
        <v>0</v>
      </c>
    </row>
    <row r="26" spans="1:12" ht="12.75" hidden="1" customHeight="1" outlineLevel="2" x14ac:dyDescent="0.2">
      <c r="A26" s="27"/>
      <c r="B26" s="28" t="str">
        <f>Labels!B183</f>
        <v>Canoes</v>
      </c>
      <c r="C26" s="46" t="str">
        <f>Labels!B170</f>
        <v>Invest 1</v>
      </c>
      <c r="D26" s="47"/>
      <c r="E26" s="48">
        <f>0</f>
        <v>0</v>
      </c>
      <c r="F26" s="49">
        <f>0</f>
        <v>0</v>
      </c>
    </row>
    <row r="27" spans="1:12" ht="12.75" hidden="1" customHeight="1" outlineLevel="2" x14ac:dyDescent="0.2">
      <c r="A27" s="27"/>
      <c r="B27" s="28"/>
      <c r="C27" s="46" t="str">
        <f>Labels!B171</f>
        <v>Invest 2</v>
      </c>
      <c r="D27" s="47"/>
      <c r="E27" s="48">
        <f>0</f>
        <v>0</v>
      </c>
      <c r="F27" s="49">
        <f>0</f>
        <v>0</v>
      </c>
    </row>
    <row r="28" spans="1:12" ht="12.75" hidden="1" customHeight="1" outlineLevel="2" x14ac:dyDescent="0.2">
      <c r="A28" s="27" t="str">
        <f>Labels!B167</f>
        <v>Non-Deprec</v>
      </c>
      <c r="B28" s="28" t="str">
        <f>Labels!B182</f>
        <v>Catamarans</v>
      </c>
      <c r="C28" s="46" t="str">
        <f>Labels!B170</f>
        <v>Invest 1</v>
      </c>
      <c r="D28" s="47"/>
      <c r="E28" s="48">
        <f>0</f>
        <v>0</v>
      </c>
      <c r="F28" s="49">
        <f>E28</f>
        <v>0</v>
      </c>
    </row>
    <row r="29" spans="1:12" ht="12.75" hidden="1" customHeight="1" outlineLevel="2" x14ac:dyDescent="0.2">
      <c r="A29" s="27"/>
      <c r="B29" s="28"/>
      <c r="C29" s="46" t="str">
        <f>Labels!B171</f>
        <v>Invest 2</v>
      </c>
      <c r="D29" s="47"/>
      <c r="E29" s="48">
        <f>0</f>
        <v>0</v>
      </c>
      <c r="F29" s="49">
        <f>E29</f>
        <v>0</v>
      </c>
    </row>
    <row r="30" spans="1:12" ht="12.75" hidden="1" customHeight="1" outlineLevel="2" x14ac:dyDescent="0.2">
      <c r="A30" s="27"/>
      <c r="B30" s="28" t="str">
        <f>Labels!B183</f>
        <v>Canoes</v>
      </c>
      <c r="C30" s="46" t="str">
        <f>Labels!B170</f>
        <v>Invest 1</v>
      </c>
      <c r="D30" s="47"/>
      <c r="E30" s="48">
        <f>0</f>
        <v>0</v>
      </c>
      <c r="F30" s="49">
        <f>E30</f>
        <v>0</v>
      </c>
    </row>
    <row r="31" spans="1:12" ht="12.75" hidden="1" customHeight="1" outlineLevel="2" x14ac:dyDescent="0.2">
      <c r="A31" s="13"/>
      <c r="B31" s="35"/>
      <c r="C31" s="50" t="str">
        <f>Labels!B171</f>
        <v>Invest 2</v>
      </c>
      <c r="D31" s="51"/>
      <c r="E31" s="52">
        <f>0</f>
        <v>0</v>
      </c>
      <c r="F31" s="53">
        <f>E31</f>
        <v>0</v>
      </c>
    </row>
    <row r="32" spans="1:12" ht="12.75" hidden="1" customHeight="1" outlineLevel="2" x14ac:dyDescent="0.2"/>
    <row r="33" spans="1:6" ht="12.75" hidden="1" customHeight="1" outlineLevel="2" collapsed="1" x14ac:dyDescent="0.2"/>
    <row r="34" spans="1:6" ht="12.75" hidden="1" customHeight="1" outlineLevel="1" collapsed="1" x14ac:dyDescent="0.2">
      <c r="A34" s="3" t="str">
        <f>"Working Capital"</f>
        <v>Working Capital</v>
      </c>
    </row>
    <row r="35" spans="1:6" ht="12.75" hidden="1" customHeight="1" outlineLevel="2" x14ac:dyDescent="0.2">
      <c r="A35" s="3" t="str">
        <f>""</f>
        <v/>
      </c>
    </row>
    <row r="36" spans="1:6" ht="12.75" hidden="1" customHeight="1" outlineLevel="2" x14ac:dyDescent="0.2">
      <c r="E36" s="17" t="str">
        <f>Labels!B190</f>
        <v>Receivables</v>
      </c>
      <c r="F36" s="19" t="str">
        <f>Labels!B191</f>
        <v>Supplies inventory</v>
      </c>
    </row>
    <row r="37" spans="1:6" ht="12.75" hidden="1" customHeight="1" outlineLevel="2" x14ac:dyDescent="0.2">
      <c r="A37" s="5" t="str">
        <f>Labels!B127</f>
        <v>Initial Working Cap</v>
      </c>
      <c r="B37" s="20" t="str">
        <f>Labels!B182</f>
        <v>Catamarans</v>
      </c>
      <c r="C37" s="20"/>
      <c r="D37" s="21"/>
      <c r="E37" s="54">
        <f>0/2/2</f>
        <v>0</v>
      </c>
      <c r="F37" s="55">
        <f>0/2/2</f>
        <v>0</v>
      </c>
    </row>
    <row r="38" spans="1:6" ht="12.75" hidden="1" customHeight="1" outlineLevel="2" x14ac:dyDescent="0.2">
      <c r="A38" s="27"/>
      <c r="B38" s="28" t="str">
        <f>Labels!B183</f>
        <v>Canoes</v>
      </c>
      <c r="C38" s="28"/>
      <c r="D38" s="29"/>
      <c r="E38" s="56">
        <f>0/2/2</f>
        <v>0</v>
      </c>
      <c r="F38" s="57">
        <f>0/2/2</f>
        <v>0</v>
      </c>
    </row>
    <row r="39" spans="1:6" ht="12.75" hidden="1" customHeight="1" outlineLevel="2" x14ac:dyDescent="0.2">
      <c r="A39" s="9"/>
      <c r="B39" s="10"/>
      <c r="C39" s="10"/>
      <c r="D39" s="11"/>
      <c r="E39" s="10"/>
      <c r="F39" s="11"/>
    </row>
    <row r="40" spans="1:6" ht="12.75" hidden="1" customHeight="1" outlineLevel="2" x14ac:dyDescent="0.2">
      <c r="A40" s="27" t="str">
        <f>Labels!B129</f>
        <v>Working Capital % Rev</v>
      </c>
      <c r="B40" s="28" t="str">
        <f>Labels!B182</f>
        <v>Catamarans</v>
      </c>
      <c r="C40" s="28"/>
      <c r="D40" s="29"/>
      <c r="E40" s="33">
        <f>0</f>
        <v>0</v>
      </c>
      <c r="F40" s="58">
        <f>0</f>
        <v>0</v>
      </c>
    </row>
    <row r="41" spans="1:6" ht="12.75" hidden="1" customHeight="1" outlineLevel="2" x14ac:dyDescent="0.2">
      <c r="A41" s="27"/>
      <c r="B41" s="28" t="str">
        <f>Labels!B183</f>
        <v>Canoes</v>
      </c>
      <c r="C41" s="28"/>
      <c r="D41" s="29"/>
      <c r="E41" s="33">
        <f>0</f>
        <v>0</v>
      </c>
      <c r="F41" s="58">
        <f>0</f>
        <v>0</v>
      </c>
    </row>
    <row r="42" spans="1:6" ht="12.75" hidden="1" customHeight="1" outlineLevel="2" x14ac:dyDescent="0.2">
      <c r="A42" s="9"/>
      <c r="B42" s="10"/>
      <c r="C42" s="10"/>
      <c r="D42" s="11"/>
      <c r="E42" s="10"/>
      <c r="F42" s="11"/>
    </row>
    <row r="43" spans="1:6" ht="12.75" hidden="1" customHeight="1" outlineLevel="2" x14ac:dyDescent="0.2">
      <c r="A43" s="27" t="str">
        <f>Labels!B130</f>
        <v>Working Capital Residual %</v>
      </c>
      <c r="B43" s="28" t="str">
        <f>Labels!B182</f>
        <v>Catamarans</v>
      </c>
      <c r="C43" s="28"/>
      <c r="D43" s="29"/>
      <c r="E43" s="33">
        <f>0</f>
        <v>0</v>
      </c>
      <c r="F43" s="58">
        <f>0</f>
        <v>0</v>
      </c>
    </row>
    <row r="44" spans="1:6" ht="12.75" hidden="1" customHeight="1" outlineLevel="2" x14ac:dyDescent="0.2">
      <c r="A44" s="13"/>
      <c r="B44" s="35" t="str">
        <f>Labels!B183</f>
        <v>Canoes</v>
      </c>
      <c r="C44" s="35"/>
      <c r="D44" s="36"/>
      <c r="E44" s="40">
        <f>0</f>
        <v>0</v>
      </c>
      <c r="F44" s="59">
        <f>0</f>
        <v>0</v>
      </c>
    </row>
    <row r="45" spans="1:6" ht="12.75" hidden="1" customHeight="1" outlineLevel="2" collapsed="1" x14ac:dyDescent="0.2"/>
    <row r="46" spans="1:6" ht="12.75" hidden="1" customHeight="1" outlineLevel="1" collapsed="1" x14ac:dyDescent="0.2"/>
    <row r="47" spans="1:6" ht="12.75" customHeight="1" collapsed="1" x14ac:dyDescent="0.2"/>
    <row r="48" spans="1:6" ht="12.75" customHeight="1" x14ac:dyDescent="0.2">
      <c r="A48" s="271" t="str">
        <f>"Sales Input Data"</f>
        <v>Sales Input Data</v>
      </c>
      <c r="B48" s="271"/>
    </row>
    <row r="49" spans="1:14" ht="12.75" hidden="1" customHeight="1" outlineLevel="1" x14ac:dyDescent="0.2">
      <c r="A49" s="1" t="str">
        <f>""</f>
        <v/>
      </c>
    </row>
    <row r="50" spans="1:14" ht="12.75" hidden="1" customHeight="1" outlineLevel="1" x14ac:dyDescent="0.2">
      <c r="E50" s="17" t="str">
        <f>Labels!B182</f>
        <v>Catamarans</v>
      </c>
      <c r="F50" s="19" t="str">
        <f>Labels!B183</f>
        <v>Canoes</v>
      </c>
    </row>
    <row r="51" spans="1:14" ht="12.75" hidden="1" customHeight="1" outlineLevel="1" x14ac:dyDescent="0.2">
      <c r="A51" s="5" t="str">
        <f>Labels!B107</f>
        <v>Initial Sales Units</v>
      </c>
      <c r="B51" s="20" t="str">
        <f>Labels!B174</f>
        <v>Product 1</v>
      </c>
      <c r="C51" s="20"/>
      <c r="D51" s="21"/>
      <c r="E51" s="60">
        <f>0</f>
        <v>0</v>
      </c>
      <c r="F51" s="61">
        <f>0</f>
        <v>0</v>
      </c>
    </row>
    <row r="52" spans="1:14" ht="12.75" hidden="1" customHeight="1" outlineLevel="1" x14ac:dyDescent="0.2">
      <c r="A52" s="9"/>
      <c r="B52" s="10"/>
      <c r="C52" s="10"/>
      <c r="D52" s="11"/>
      <c r="E52" s="10"/>
      <c r="F52" s="11"/>
    </row>
    <row r="53" spans="1:14" ht="12.75" hidden="1" customHeight="1" outlineLevel="1" x14ac:dyDescent="0.2">
      <c r="E53" s="17" t="str">
        <f>'(FnCalls 1)'!G7</f>
        <v>Q1 2011</v>
      </c>
      <c r="F53" s="18" t="str">
        <f>'(FnCalls 1)'!G8</f>
        <v>Q2 2011</v>
      </c>
      <c r="G53" s="18" t="str">
        <f>'(FnCalls 1)'!G9</f>
        <v>Q3 2011</v>
      </c>
      <c r="H53" s="18" t="str">
        <f>'(FnCalls 1)'!G10</f>
        <v>Q4 2011</v>
      </c>
      <c r="I53" s="62" t="str">
        <f>'(FnCalls 1)'!H7</f>
        <v>2011</v>
      </c>
      <c r="J53" s="18" t="str">
        <f>'(FnCalls 1)'!G11</f>
        <v>Q1 2012</v>
      </c>
      <c r="K53" s="18" t="str">
        <f>'(FnCalls 1)'!G12</f>
        <v>Q2 2012</v>
      </c>
      <c r="L53" s="18" t="str">
        <f>'(FnCalls 1)'!G13</f>
        <v>Q3 2012</v>
      </c>
      <c r="M53" s="18" t="str">
        <f>'(FnCalls 1)'!G14</f>
        <v>Q4 2012</v>
      </c>
      <c r="N53" s="62" t="str">
        <f>'(FnCalls 1)'!H11</f>
        <v>2012</v>
      </c>
    </row>
    <row r="54" spans="1:14" ht="12.75" hidden="1" customHeight="1" outlineLevel="1" x14ac:dyDescent="0.2">
      <c r="A54" s="5" t="str">
        <f>Labels!B106</f>
        <v>Sales Units Annualized Growth</v>
      </c>
      <c r="B54" s="20" t="str">
        <f>Labels!B182</f>
        <v>Catamarans</v>
      </c>
      <c r="C54" s="42" t="str">
        <f>Labels!B174</f>
        <v>Product 1</v>
      </c>
      <c r="D54" s="43"/>
      <c r="E54" s="63"/>
      <c r="F54" s="64">
        <f>0</f>
        <v>0</v>
      </c>
      <c r="G54" s="64">
        <f>F54</f>
        <v>0</v>
      </c>
      <c r="H54" s="64">
        <f>G54</f>
        <v>0</v>
      </c>
      <c r="I54" s="65">
        <f>AVERAGE(F54:H54)</f>
        <v>0</v>
      </c>
      <c r="J54" s="64">
        <f>H54</f>
        <v>0</v>
      </c>
      <c r="K54" s="64">
        <f t="shared" ref="K54:M55" si="1">J54</f>
        <v>0</v>
      </c>
      <c r="L54" s="64">
        <f t="shared" si="1"/>
        <v>0</v>
      </c>
      <c r="M54" s="64">
        <f t="shared" si="1"/>
        <v>0</v>
      </c>
      <c r="N54" s="65">
        <f>AVERAGE(J54:M54)</f>
        <v>0</v>
      </c>
    </row>
    <row r="55" spans="1:14" ht="12.75" hidden="1" customHeight="1" outlineLevel="1" x14ac:dyDescent="0.2">
      <c r="A55" s="27"/>
      <c r="B55" s="28" t="str">
        <f>Labels!B183</f>
        <v>Canoes</v>
      </c>
      <c r="C55" s="46" t="str">
        <f>Labels!B174</f>
        <v>Product 1</v>
      </c>
      <c r="D55" s="47"/>
      <c r="E55" s="66"/>
      <c r="F55" s="67">
        <f>0</f>
        <v>0</v>
      </c>
      <c r="G55" s="67">
        <f>F55</f>
        <v>0</v>
      </c>
      <c r="H55" s="67">
        <f>G55</f>
        <v>0</v>
      </c>
      <c r="I55" s="68">
        <f>AVERAGE(F55:H55)</f>
        <v>0</v>
      </c>
      <c r="J55" s="67">
        <f>H55</f>
        <v>0</v>
      </c>
      <c r="K55" s="67">
        <f t="shared" si="1"/>
        <v>0</v>
      </c>
      <c r="L55" s="67">
        <f t="shared" si="1"/>
        <v>0</v>
      </c>
      <c r="M55" s="67">
        <f t="shared" si="1"/>
        <v>0</v>
      </c>
      <c r="N55" s="68">
        <f>AVERAGE(J55:M55)</f>
        <v>0</v>
      </c>
    </row>
    <row r="56" spans="1:14" ht="12.75" hidden="1" customHeight="1" outlineLevel="1" x14ac:dyDescent="0.2">
      <c r="A56" s="9"/>
      <c r="B56" s="10"/>
      <c r="C56" s="10"/>
      <c r="D56" s="11"/>
      <c r="E56" s="10"/>
      <c r="F56" s="10"/>
      <c r="G56" s="10"/>
      <c r="H56" s="10"/>
      <c r="I56" s="12"/>
      <c r="J56" s="10"/>
      <c r="K56" s="10"/>
      <c r="L56" s="10"/>
      <c r="M56" s="10"/>
      <c r="N56" s="12"/>
    </row>
    <row r="57" spans="1:14" ht="12.75" hidden="1" customHeight="1" outlineLevel="1" x14ac:dyDescent="0.2">
      <c r="A57" s="27" t="str">
        <f>Labels!B94</f>
        <v>Average Price</v>
      </c>
      <c r="B57" s="28" t="str">
        <f>Labels!B182</f>
        <v>Catamarans</v>
      </c>
      <c r="C57" s="46" t="str">
        <f>Labels!B174</f>
        <v>Product 1</v>
      </c>
      <c r="D57" s="47"/>
      <c r="E57" s="48">
        <f>0</f>
        <v>0</v>
      </c>
      <c r="F57" s="48">
        <f t="shared" ref="F57:H58" si="2">E57</f>
        <v>0</v>
      </c>
      <c r="G57" s="48">
        <f t="shared" si="2"/>
        <v>0</v>
      </c>
      <c r="H57" s="48">
        <f t="shared" si="2"/>
        <v>0</v>
      </c>
      <c r="I57" s="69">
        <f>IF(SUM(E63:H63)=0,0,SUM(E67:H67)/SUM(E63:H63))</f>
        <v>0</v>
      </c>
      <c r="J57" s="48">
        <f>H57</f>
        <v>0</v>
      </c>
      <c r="K57" s="48">
        <f t="shared" ref="K57:M58" si="3">J57</f>
        <v>0</v>
      </c>
      <c r="L57" s="48">
        <f t="shared" si="3"/>
        <v>0</v>
      </c>
      <c r="M57" s="48">
        <f t="shared" si="3"/>
        <v>0</v>
      </c>
      <c r="N57" s="69">
        <f>IF(SUM(J63:M63)=0,0,SUM(J67:M67)/SUM(J63:M63))</f>
        <v>0</v>
      </c>
    </row>
    <row r="58" spans="1:14" ht="12.75" hidden="1" customHeight="1" outlineLevel="1" x14ac:dyDescent="0.2">
      <c r="A58" s="13"/>
      <c r="B58" s="35" t="str">
        <f>Labels!B183</f>
        <v>Canoes</v>
      </c>
      <c r="C58" s="50" t="str">
        <f>Labels!B174</f>
        <v>Product 1</v>
      </c>
      <c r="D58" s="51"/>
      <c r="E58" s="52">
        <f>0</f>
        <v>0</v>
      </c>
      <c r="F58" s="52">
        <f t="shared" si="2"/>
        <v>0</v>
      </c>
      <c r="G58" s="52">
        <f t="shared" si="2"/>
        <v>0</v>
      </c>
      <c r="H58" s="52">
        <f t="shared" si="2"/>
        <v>0</v>
      </c>
      <c r="I58" s="70">
        <f>IF(SUM(E64:H64)=0,0,SUM(E68:H68)/SUM(E64:H64))</f>
        <v>0</v>
      </c>
      <c r="J58" s="52">
        <f>H58</f>
        <v>0</v>
      </c>
      <c r="K58" s="52">
        <f t="shared" si="3"/>
        <v>0</v>
      </c>
      <c r="L58" s="52">
        <f t="shared" si="3"/>
        <v>0</v>
      </c>
      <c r="M58" s="52">
        <f t="shared" si="3"/>
        <v>0</v>
      </c>
      <c r="N58" s="70">
        <f>IF(SUM(J64:M64)=0,0,SUM(J68:M68)/SUM(J64:M64))</f>
        <v>0</v>
      </c>
    </row>
    <row r="59" spans="1:14" ht="12.75" hidden="1" customHeight="1" outlineLevel="1" x14ac:dyDescent="0.2"/>
    <row r="60" spans="1:14" ht="12.75" hidden="1" customHeight="1" outlineLevel="1" x14ac:dyDescent="0.2">
      <c r="A60" s="3" t="str">
        <f>"Optional Direct Input"</f>
        <v>Optional Direct Input</v>
      </c>
    </row>
    <row r="61" spans="1:14" ht="12.75" hidden="1" customHeight="1" outlineLevel="2" x14ac:dyDescent="0.2">
      <c r="A61" s="269" t="str">
        <f>"You can optionally input sales units  data, and override formulas that compute sales units from initial values and growth rates."</f>
        <v>You can optionally input sales units  data, and override formulas that compute sales units from initial values and growth rates.</v>
      </c>
      <c r="B61" s="269"/>
      <c r="C61" s="269"/>
      <c r="D61" s="269"/>
    </row>
    <row r="62" spans="1:14" ht="12.75" hidden="1" customHeight="1" outlineLevel="2" x14ac:dyDescent="0.2">
      <c r="E62" s="17" t="str">
        <f>'(FnCalls 1)'!G7</f>
        <v>Q1 2011</v>
      </c>
      <c r="F62" s="18" t="str">
        <f>'(FnCalls 1)'!G8</f>
        <v>Q2 2011</v>
      </c>
      <c r="G62" s="18" t="str">
        <f>'(FnCalls 1)'!G9</f>
        <v>Q3 2011</v>
      </c>
      <c r="H62" s="18" t="str">
        <f>'(FnCalls 1)'!G10</f>
        <v>Q4 2011</v>
      </c>
      <c r="I62" s="62" t="str">
        <f>'(FnCalls 1)'!H7</f>
        <v>2011</v>
      </c>
      <c r="J62" s="18" t="str">
        <f>'(FnCalls 1)'!G11</f>
        <v>Q1 2012</v>
      </c>
      <c r="K62" s="18" t="str">
        <f>'(FnCalls 1)'!G12</f>
        <v>Q2 2012</v>
      </c>
      <c r="L62" s="18" t="str">
        <f>'(FnCalls 1)'!G13</f>
        <v>Q3 2012</v>
      </c>
      <c r="M62" s="18" t="str">
        <f>'(FnCalls 1)'!G14</f>
        <v>Q4 2012</v>
      </c>
      <c r="N62" s="62" t="str">
        <f>'(FnCalls 1)'!H11</f>
        <v>2012</v>
      </c>
    </row>
    <row r="63" spans="1:14" ht="12.75" hidden="1" customHeight="1" outlineLevel="2" x14ac:dyDescent="0.2">
      <c r="A63" s="5" t="str">
        <f>Labels!B104</f>
        <v>Sales Units</v>
      </c>
      <c r="B63" s="20" t="str">
        <f>Labels!B182</f>
        <v>Catamarans</v>
      </c>
      <c r="C63" s="42" t="str">
        <f>Labels!B174</f>
        <v>Product 1</v>
      </c>
      <c r="D63" s="43"/>
      <c r="E63" s="71">
        <f>IF('(Tables)'!D38=0,0,IF(AND('(Tables)'!D38=1,'(Tables)'!B38=0),E51,0*1+0*0))</f>
        <v>0</v>
      </c>
      <c r="F63" s="71">
        <f>IF('(Tables)'!E38=0,0,IF(AND('(Tables)'!E38=1,'(Tables)'!D38=0),E51,E63*1+E63*'(Tables)'!B55))</f>
        <v>0</v>
      </c>
      <c r="G63" s="71">
        <f>IF('(Tables)'!F38=0,0,IF(AND('(Tables)'!F38=1,'(Tables)'!E38=0),E51,F63*1+F63*'(Tables)'!C55))</f>
        <v>0</v>
      </c>
      <c r="H63" s="71">
        <f>IF('(Tables)'!G38=0,0,IF(AND('(Tables)'!G38=1,'(Tables)'!F38=0),E51,G63*1+G63*'(Tables)'!D55))</f>
        <v>0</v>
      </c>
      <c r="I63" s="72">
        <f>SUM(E63:H63)</f>
        <v>0</v>
      </c>
      <c r="J63" s="71">
        <f>IF('(Tables)'!I38=0,0,IF(AND('(Tables)'!I38=1,'(Tables)'!G38=0),E51,H63*1+H63*'(Tables)'!F55))</f>
        <v>0</v>
      </c>
      <c r="K63" s="71">
        <f>IF('(Tables)'!J38=0,0,IF(AND('(Tables)'!J38=1,'(Tables)'!I38=0),E51,J63*1+J63*'(Tables)'!G55))</f>
        <v>0</v>
      </c>
      <c r="L63" s="71">
        <f>IF('(Tables)'!K38=0,0,IF(AND('(Tables)'!K38=1,'(Tables)'!J38=0),E51,K63*1+K63*'(Tables)'!H55))</f>
        <v>0</v>
      </c>
      <c r="M63" s="71">
        <f>IF('(Tables)'!L38=0,0,IF(AND('(Tables)'!L38=1,'(Tables)'!K38=0),E51,L63*1+L63*'(Tables)'!I55))</f>
        <v>0</v>
      </c>
      <c r="N63" s="72">
        <f>SUM(J63:M63)</f>
        <v>0</v>
      </c>
    </row>
    <row r="64" spans="1:14" ht="12.75" hidden="1" customHeight="1" outlineLevel="2" x14ac:dyDescent="0.2">
      <c r="A64" s="13"/>
      <c r="B64" s="35" t="str">
        <f>Labels!B183</f>
        <v>Canoes</v>
      </c>
      <c r="C64" s="50" t="str">
        <f>Labels!B174</f>
        <v>Product 1</v>
      </c>
      <c r="D64" s="51"/>
      <c r="E64" s="73">
        <f>IF('(Tables)'!D42=0,0,IF(AND('(Tables)'!D42=1,'(Tables)'!B42=0),F51,0*1+0*0))</f>
        <v>0</v>
      </c>
      <c r="F64" s="73">
        <f>IF('(Tables)'!E42=0,0,IF(AND('(Tables)'!E42=1,'(Tables)'!D42=0),F51,E64*1+E64*'(Tables)'!B58))</f>
        <v>0</v>
      </c>
      <c r="G64" s="73">
        <f>IF('(Tables)'!F42=0,0,IF(AND('(Tables)'!F42=1,'(Tables)'!E42=0),F51,F64*1+F64*'(Tables)'!C58))</f>
        <v>0</v>
      </c>
      <c r="H64" s="73">
        <f>IF('(Tables)'!G42=0,0,IF(AND('(Tables)'!G42=1,'(Tables)'!F42=0),F51,G64*1+G64*'(Tables)'!D58))</f>
        <v>0</v>
      </c>
      <c r="I64" s="74">
        <f>SUM(E64:H64)</f>
        <v>0</v>
      </c>
      <c r="J64" s="73">
        <f>IF('(Tables)'!I42=0,0,IF(AND('(Tables)'!I42=1,'(Tables)'!G42=0),F51,H64*1+H64*'(Tables)'!F58))</f>
        <v>0</v>
      </c>
      <c r="K64" s="73">
        <f>IF('(Tables)'!J42=0,0,IF(AND('(Tables)'!J42=1,'(Tables)'!I42=0),F51,J64*1+J64*'(Tables)'!G58))</f>
        <v>0</v>
      </c>
      <c r="L64" s="73">
        <f>IF('(Tables)'!K42=0,0,IF(AND('(Tables)'!K42=1,'(Tables)'!J42=0),F51,K64*1+K64*'(Tables)'!H58))</f>
        <v>0</v>
      </c>
      <c r="M64" s="73">
        <f>IF('(Tables)'!L42=0,0,IF(AND('(Tables)'!L42=1,'(Tables)'!K42=0),F51,L64*1+L64*'(Tables)'!I58))</f>
        <v>0</v>
      </c>
      <c r="N64" s="74">
        <f>SUM(J64:M64)</f>
        <v>0</v>
      </c>
    </row>
    <row r="65" spans="1:14" ht="12.75" hidden="1" customHeight="1" outlineLevel="2" x14ac:dyDescent="0.2"/>
    <row r="66" spans="1:14" ht="12.75" hidden="1" customHeight="1" outlineLevel="2" x14ac:dyDescent="0.2">
      <c r="A66" s="269" t="str">
        <f>"You can optionally input revenue data, and override formulas that compute revenue from prices and sales units."</f>
        <v>You can optionally input revenue data, and override formulas that compute revenue from prices and sales units.</v>
      </c>
      <c r="B66" s="269"/>
      <c r="C66" s="269"/>
      <c r="D66" s="269"/>
    </row>
    <row r="67" spans="1:14" ht="12.75" hidden="1" customHeight="1" outlineLevel="2" x14ac:dyDescent="0.2">
      <c r="A67" s="5" t="str">
        <f>Labels!B98</f>
        <v>Revenue</v>
      </c>
      <c r="B67" s="20" t="str">
        <f>Labels!B182</f>
        <v>Catamarans</v>
      </c>
      <c r="C67" s="42" t="str">
        <f>Labels!B174</f>
        <v>Product 1</v>
      </c>
      <c r="D67" s="43"/>
      <c r="E67" s="44">
        <f t="shared" ref="E67:H68" si="4">E57*E63</f>
        <v>0</v>
      </c>
      <c r="F67" s="44">
        <f t="shared" si="4"/>
        <v>0</v>
      </c>
      <c r="G67" s="44">
        <f t="shared" si="4"/>
        <v>0</v>
      </c>
      <c r="H67" s="44">
        <f t="shared" si="4"/>
        <v>0</v>
      </c>
      <c r="I67" s="75">
        <f>SUM(E67:H67)</f>
        <v>0</v>
      </c>
      <c r="J67" s="44">
        <f t="shared" ref="J67:M68" si="5">J57*J63</f>
        <v>0</v>
      </c>
      <c r="K67" s="44">
        <f t="shared" si="5"/>
        <v>0</v>
      </c>
      <c r="L67" s="44">
        <f t="shared" si="5"/>
        <v>0</v>
      </c>
      <c r="M67" s="44">
        <f t="shared" si="5"/>
        <v>0</v>
      </c>
      <c r="N67" s="75">
        <f>SUM(J67:M67)</f>
        <v>0</v>
      </c>
    </row>
    <row r="68" spans="1:14" ht="12.75" hidden="1" customHeight="1" outlineLevel="2" x14ac:dyDescent="0.2">
      <c r="A68" s="13"/>
      <c r="B68" s="35" t="str">
        <f>Labels!B183</f>
        <v>Canoes</v>
      </c>
      <c r="C68" s="50" t="str">
        <f>Labels!B174</f>
        <v>Product 1</v>
      </c>
      <c r="D68" s="51"/>
      <c r="E68" s="52">
        <f t="shared" si="4"/>
        <v>0</v>
      </c>
      <c r="F68" s="52">
        <f t="shared" si="4"/>
        <v>0</v>
      </c>
      <c r="G68" s="52">
        <f t="shared" si="4"/>
        <v>0</v>
      </c>
      <c r="H68" s="52">
        <f t="shared" si="4"/>
        <v>0</v>
      </c>
      <c r="I68" s="70">
        <f>SUM(E68:H68)</f>
        <v>0</v>
      </c>
      <c r="J68" s="52">
        <f t="shared" si="5"/>
        <v>0</v>
      </c>
      <c r="K68" s="52">
        <f t="shared" si="5"/>
        <v>0</v>
      </c>
      <c r="L68" s="52">
        <f t="shared" si="5"/>
        <v>0</v>
      </c>
      <c r="M68" s="52">
        <f t="shared" si="5"/>
        <v>0</v>
      </c>
      <c r="N68" s="70">
        <f>SUM(J68:M68)</f>
        <v>0</v>
      </c>
    </row>
    <row r="69" spans="1:14" ht="12.75" hidden="1" customHeight="1" outlineLevel="2" x14ac:dyDescent="0.2"/>
    <row r="70" spans="1:14" ht="12.75" hidden="1" customHeight="1" outlineLevel="2" collapsed="1" x14ac:dyDescent="0.2"/>
    <row r="71" spans="1:14" ht="12.75" hidden="1" customHeight="1" outlineLevel="1" collapsed="1" x14ac:dyDescent="0.2"/>
    <row r="72" spans="1:14" ht="12.75" customHeight="1" collapsed="1" x14ac:dyDescent="0.2"/>
    <row r="73" spans="1:14" ht="12.75" customHeight="1" x14ac:dyDescent="0.2">
      <c r="A73" s="271" t="str">
        <f>"Expense Input Data"</f>
        <v>Expense Input Data</v>
      </c>
      <c r="B73" s="271"/>
    </row>
    <row r="74" spans="1:14" ht="12.75" hidden="1" customHeight="1" outlineLevel="1" x14ac:dyDescent="0.2">
      <c r="A74" s="1" t="str">
        <f>""</f>
        <v/>
      </c>
    </row>
    <row r="75" spans="1:14" ht="12.75" hidden="1" customHeight="1" outlineLevel="1" x14ac:dyDescent="0.2">
      <c r="E75" s="17" t="str">
        <f>'(FnCalls 1)'!G7</f>
        <v>Q1 2011</v>
      </c>
      <c r="F75" s="18" t="str">
        <f>'(FnCalls 1)'!G8</f>
        <v>Q2 2011</v>
      </c>
      <c r="G75" s="18" t="str">
        <f>'(FnCalls 1)'!G9</f>
        <v>Q3 2011</v>
      </c>
      <c r="H75" s="18" t="str">
        <f>'(FnCalls 1)'!G10</f>
        <v>Q4 2011</v>
      </c>
      <c r="I75" s="62" t="str">
        <f>'(FnCalls 1)'!H7</f>
        <v>2011</v>
      </c>
      <c r="J75" s="18" t="str">
        <f>'(FnCalls 1)'!G11</f>
        <v>Q1 2012</v>
      </c>
      <c r="K75" s="18" t="str">
        <f>'(FnCalls 1)'!G12</f>
        <v>Q2 2012</v>
      </c>
      <c r="L75" s="18" t="str">
        <f>'(FnCalls 1)'!G13</f>
        <v>Q3 2012</v>
      </c>
      <c r="M75" s="18" t="str">
        <f>'(FnCalls 1)'!G14</f>
        <v>Q4 2012</v>
      </c>
      <c r="N75" s="62" t="str">
        <f>'(FnCalls 1)'!H11</f>
        <v>2012</v>
      </c>
    </row>
    <row r="76" spans="1:14" ht="12.75" hidden="1" customHeight="1" outlineLevel="1" x14ac:dyDescent="0.2">
      <c r="A76" s="5" t="str">
        <f>Labels!B54</f>
        <v>Variable Operating Exp % Rev</v>
      </c>
      <c r="B76" s="20" t="str">
        <f>Labels!B182</f>
        <v>Catamarans</v>
      </c>
      <c r="C76" s="42" t="str">
        <f>Labels!B186</f>
        <v>Fuel</v>
      </c>
      <c r="D76" s="43"/>
      <c r="E76" s="76">
        <f>0</f>
        <v>0</v>
      </c>
      <c r="F76" s="76">
        <f t="shared" ref="F76:H79" si="6">E76</f>
        <v>0</v>
      </c>
      <c r="G76" s="76">
        <f t="shared" si="6"/>
        <v>0</v>
      </c>
      <c r="H76" s="76">
        <f t="shared" si="6"/>
        <v>0</v>
      </c>
      <c r="I76" s="77">
        <f>AVERAGE(E76:H76)</f>
        <v>0</v>
      </c>
      <c r="J76" s="76">
        <f>H76</f>
        <v>0</v>
      </c>
      <c r="K76" s="76">
        <f t="shared" ref="K76:M79" si="7">J76</f>
        <v>0</v>
      </c>
      <c r="L76" s="76">
        <f t="shared" si="7"/>
        <v>0</v>
      </c>
      <c r="M76" s="76">
        <f t="shared" si="7"/>
        <v>0</v>
      </c>
      <c r="N76" s="77">
        <f>AVERAGE(J76:M76)</f>
        <v>0</v>
      </c>
    </row>
    <row r="77" spans="1:14" ht="12.75" hidden="1" customHeight="1" outlineLevel="1" x14ac:dyDescent="0.2">
      <c r="A77" s="27"/>
      <c r="B77" s="28"/>
      <c r="C77" s="46" t="str">
        <f>Labels!B187</f>
        <v>Maintenance</v>
      </c>
      <c r="D77" s="47"/>
      <c r="E77" s="78">
        <f>0</f>
        <v>0</v>
      </c>
      <c r="F77" s="78">
        <f t="shared" si="6"/>
        <v>0</v>
      </c>
      <c r="G77" s="78">
        <f t="shared" si="6"/>
        <v>0</v>
      </c>
      <c r="H77" s="78">
        <f t="shared" si="6"/>
        <v>0</v>
      </c>
      <c r="I77" s="79">
        <f>AVERAGE(E77:H77)</f>
        <v>0</v>
      </c>
      <c r="J77" s="78">
        <f>H77</f>
        <v>0</v>
      </c>
      <c r="K77" s="78">
        <f t="shared" si="7"/>
        <v>0</v>
      </c>
      <c r="L77" s="78">
        <f t="shared" si="7"/>
        <v>0</v>
      </c>
      <c r="M77" s="78">
        <f t="shared" si="7"/>
        <v>0</v>
      </c>
      <c r="N77" s="79">
        <f>AVERAGE(J77:M77)</f>
        <v>0</v>
      </c>
    </row>
    <row r="78" spans="1:14" ht="12.75" hidden="1" customHeight="1" outlineLevel="1" x14ac:dyDescent="0.2">
      <c r="A78" s="27"/>
      <c r="B78" s="28" t="str">
        <f>Labels!B183</f>
        <v>Canoes</v>
      </c>
      <c r="C78" s="46" t="str">
        <f>Labels!B186</f>
        <v>Fuel</v>
      </c>
      <c r="D78" s="47"/>
      <c r="E78" s="78">
        <f>0</f>
        <v>0</v>
      </c>
      <c r="F78" s="78">
        <f t="shared" si="6"/>
        <v>0</v>
      </c>
      <c r="G78" s="78">
        <f t="shared" si="6"/>
        <v>0</v>
      </c>
      <c r="H78" s="78">
        <f t="shared" si="6"/>
        <v>0</v>
      </c>
      <c r="I78" s="79">
        <f>AVERAGE(E78:H78)</f>
        <v>0</v>
      </c>
      <c r="J78" s="78">
        <f>H78</f>
        <v>0</v>
      </c>
      <c r="K78" s="78">
        <f t="shared" si="7"/>
        <v>0</v>
      </c>
      <c r="L78" s="78">
        <f t="shared" si="7"/>
        <v>0</v>
      </c>
      <c r="M78" s="78">
        <f t="shared" si="7"/>
        <v>0</v>
      </c>
      <c r="N78" s="79">
        <f>AVERAGE(J78:M78)</f>
        <v>0</v>
      </c>
    </row>
    <row r="79" spans="1:14" ht="12.75" hidden="1" customHeight="1" outlineLevel="1" x14ac:dyDescent="0.2">
      <c r="A79" s="13"/>
      <c r="B79" s="35"/>
      <c r="C79" s="50" t="str">
        <f>Labels!B187</f>
        <v>Maintenance</v>
      </c>
      <c r="D79" s="51"/>
      <c r="E79" s="80">
        <f>0</f>
        <v>0</v>
      </c>
      <c r="F79" s="80">
        <f t="shared" si="6"/>
        <v>0</v>
      </c>
      <c r="G79" s="80">
        <f t="shared" si="6"/>
        <v>0</v>
      </c>
      <c r="H79" s="80">
        <f t="shared" si="6"/>
        <v>0</v>
      </c>
      <c r="I79" s="81">
        <f>AVERAGE(E79:H79)</f>
        <v>0</v>
      </c>
      <c r="J79" s="80">
        <f>H79</f>
        <v>0</v>
      </c>
      <c r="K79" s="80">
        <f t="shared" si="7"/>
        <v>0</v>
      </c>
      <c r="L79" s="80">
        <f t="shared" si="7"/>
        <v>0</v>
      </c>
      <c r="M79" s="80">
        <f t="shared" si="7"/>
        <v>0</v>
      </c>
      <c r="N79" s="81">
        <f>AVERAGE(J79:M79)</f>
        <v>0</v>
      </c>
    </row>
    <row r="80" spans="1:14" ht="12.75" hidden="1" customHeight="1" outlineLevel="1" x14ac:dyDescent="0.2"/>
    <row r="81" spans="1:14" ht="12.75" hidden="1" customHeight="1" outlineLevel="1" x14ac:dyDescent="0.2">
      <c r="E81" s="17" t="str">
        <f>Labels!B182</f>
        <v>Catamarans</v>
      </c>
      <c r="F81" s="19" t="str">
        <f>Labels!B183</f>
        <v>Canoes</v>
      </c>
    </row>
    <row r="82" spans="1:14" ht="12.75" hidden="1" customHeight="1" outlineLevel="1" x14ac:dyDescent="0.2">
      <c r="A82" s="5" t="str">
        <f>Labels!B52</f>
        <v>Initial Fixed Operating Expense</v>
      </c>
      <c r="B82" s="20" t="str">
        <f>Labels!B162</f>
        <v>Computers</v>
      </c>
      <c r="C82" s="20"/>
      <c r="D82" s="21"/>
      <c r="E82" s="54">
        <f>0</f>
        <v>0</v>
      </c>
      <c r="F82" s="55">
        <f>0</f>
        <v>0</v>
      </c>
    </row>
    <row r="83" spans="1:14" ht="12.75" hidden="1" customHeight="1" outlineLevel="1" x14ac:dyDescent="0.2">
      <c r="A83" s="27"/>
      <c r="B83" s="28" t="str">
        <f>Labels!B163</f>
        <v>Vehicles</v>
      </c>
      <c r="C83" s="28"/>
      <c r="D83" s="29"/>
      <c r="E83" s="56">
        <f>0</f>
        <v>0</v>
      </c>
      <c r="F83" s="57">
        <f>0</f>
        <v>0</v>
      </c>
    </row>
    <row r="84" spans="1:14" ht="12.75" hidden="1" customHeight="1" outlineLevel="1" x14ac:dyDescent="0.2">
      <c r="A84" s="9"/>
      <c r="B84" s="10"/>
      <c r="C84" s="10"/>
      <c r="D84" s="11"/>
      <c r="E84" s="10"/>
      <c r="F84" s="11"/>
    </row>
    <row r="85" spans="1:14" ht="12.75" hidden="1" customHeight="1" outlineLevel="1" x14ac:dyDescent="0.2">
      <c r="E85" s="17" t="str">
        <f>'(FnCalls 1)'!G8</f>
        <v>Q2 2011</v>
      </c>
      <c r="F85" s="18" t="str">
        <f>'(FnCalls 1)'!G9</f>
        <v>Q3 2011</v>
      </c>
      <c r="G85" s="18" t="str">
        <f>'(FnCalls 1)'!G10</f>
        <v>Q4 2011</v>
      </c>
      <c r="H85" s="62" t="str">
        <f>'(FnCalls 1)'!H7</f>
        <v>2011</v>
      </c>
      <c r="I85" s="18" t="str">
        <f>'(FnCalls 1)'!G11</f>
        <v>Q1 2012</v>
      </c>
      <c r="J85" s="18" t="str">
        <f>'(FnCalls 1)'!G12</f>
        <v>Q2 2012</v>
      </c>
      <c r="K85" s="18" t="str">
        <f>'(FnCalls 1)'!G13</f>
        <v>Q3 2012</v>
      </c>
      <c r="L85" s="18" t="str">
        <f>'(FnCalls 1)'!G14</f>
        <v>Q4 2012</v>
      </c>
      <c r="M85" s="62" t="str">
        <f>'(FnCalls 1)'!H11</f>
        <v>2012</v>
      </c>
    </row>
    <row r="86" spans="1:14" ht="12.75" hidden="1" customHeight="1" outlineLevel="1" x14ac:dyDescent="0.2">
      <c r="A86" s="5" t="str">
        <f>Labels!B51</f>
        <v>Fixed Operating Exp Annualized Growth</v>
      </c>
      <c r="B86" s="20" t="str">
        <f>Labels!B182</f>
        <v>Catamarans</v>
      </c>
      <c r="C86" s="42" t="str">
        <f>Labels!B162</f>
        <v>Computers</v>
      </c>
      <c r="D86" s="43"/>
      <c r="E86" s="76">
        <f>0</f>
        <v>0</v>
      </c>
      <c r="F86" s="76">
        <f>0</f>
        <v>0</v>
      </c>
      <c r="G86" s="76">
        <f>0</f>
        <v>0</v>
      </c>
      <c r="H86" s="77" t="str">
        <f>IF(0=0," ",(SUM(E101:H101)/0)^1-1)</f>
        <v xml:space="preserve"> </v>
      </c>
      <c r="I86" s="76">
        <f>0</f>
        <v>0</v>
      </c>
      <c r="J86" s="76">
        <f>0</f>
        <v>0</v>
      </c>
      <c r="K86" s="76">
        <f>0</f>
        <v>0</v>
      </c>
      <c r="L86" s="76">
        <f>0</f>
        <v>0</v>
      </c>
      <c r="M86" s="77" t="str">
        <f>IF(SUM(E101:H101)=0," ",(SUM(J101:M101)/SUM(E101:H101))^1-1)</f>
        <v xml:space="preserve"> </v>
      </c>
    </row>
    <row r="87" spans="1:14" ht="12.75" hidden="1" customHeight="1" outlineLevel="1" x14ac:dyDescent="0.2">
      <c r="A87" s="27"/>
      <c r="B87" s="28"/>
      <c r="C87" s="46" t="str">
        <f>Labels!B163</f>
        <v>Vehicles</v>
      </c>
      <c r="D87" s="47"/>
      <c r="E87" s="78">
        <f>0</f>
        <v>0</v>
      </c>
      <c r="F87" s="78">
        <f>0</f>
        <v>0</v>
      </c>
      <c r="G87" s="78">
        <f>0</f>
        <v>0</v>
      </c>
      <c r="H87" s="79" t="str">
        <f>IF(0=0," ",(SUM(E102:H102)/0)^1-1)</f>
        <v xml:space="preserve"> </v>
      </c>
      <c r="I87" s="78">
        <f>0</f>
        <v>0</v>
      </c>
      <c r="J87" s="78">
        <f>0</f>
        <v>0</v>
      </c>
      <c r="K87" s="78">
        <f>0</f>
        <v>0</v>
      </c>
      <c r="L87" s="78">
        <f>0</f>
        <v>0</v>
      </c>
      <c r="M87" s="79" t="str">
        <f>IF(SUM(E102:H102)=0," ",(SUM(J102:M102)/SUM(E102:H102))^1-1)</f>
        <v xml:space="preserve"> </v>
      </c>
    </row>
    <row r="88" spans="1:14" ht="12.75" hidden="1" customHeight="1" outlineLevel="1" x14ac:dyDescent="0.2">
      <c r="A88" s="27"/>
      <c r="B88" s="28" t="str">
        <f>Labels!B183</f>
        <v>Canoes</v>
      </c>
      <c r="C88" s="46" t="str">
        <f>Labels!B162</f>
        <v>Computers</v>
      </c>
      <c r="D88" s="47"/>
      <c r="E88" s="78">
        <f>0</f>
        <v>0</v>
      </c>
      <c r="F88" s="78">
        <f>0</f>
        <v>0</v>
      </c>
      <c r="G88" s="78">
        <f>0</f>
        <v>0</v>
      </c>
      <c r="H88" s="79" t="str">
        <f>IF(0=0," ",(SUM(E103:H103)/0)^1-1)</f>
        <v xml:space="preserve"> </v>
      </c>
      <c r="I88" s="78">
        <f>0</f>
        <v>0</v>
      </c>
      <c r="J88" s="78">
        <f>0</f>
        <v>0</v>
      </c>
      <c r="K88" s="78">
        <f>0</f>
        <v>0</v>
      </c>
      <c r="L88" s="78">
        <f>0</f>
        <v>0</v>
      </c>
      <c r="M88" s="79" t="str">
        <f>IF(SUM(E103:H103)=0," ",(SUM(J103:M103)/SUM(E103:H103))^1-1)</f>
        <v xml:space="preserve"> </v>
      </c>
    </row>
    <row r="89" spans="1:14" ht="12.75" hidden="1" customHeight="1" outlineLevel="1" x14ac:dyDescent="0.2">
      <c r="A89" s="13"/>
      <c r="B89" s="35"/>
      <c r="C89" s="50" t="str">
        <f>Labels!B163</f>
        <v>Vehicles</v>
      </c>
      <c r="D89" s="51"/>
      <c r="E89" s="80">
        <f>0</f>
        <v>0</v>
      </c>
      <c r="F89" s="80">
        <f>0</f>
        <v>0</v>
      </c>
      <c r="G89" s="80">
        <f>0</f>
        <v>0</v>
      </c>
      <c r="H89" s="81" t="str">
        <f>IF(0=0," ",(SUM(E104:H104)/0)^1-1)</f>
        <v xml:space="preserve"> </v>
      </c>
      <c r="I89" s="80">
        <f>0</f>
        <v>0</v>
      </c>
      <c r="J89" s="80">
        <f>0</f>
        <v>0</v>
      </c>
      <c r="K89" s="80">
        <f>0</f>
        <v>0</v>
      </c>
      <c r="L89" s="80">
        <f>0</f>
        <v>0</v>
      </c>
      <c r="M89" s="81" t="str">
        <f>IF(SUM(E104:H104)=0," ",(SUM(J104:M104)/SUM(E104:H104))^1-1)</f>
        <v xml:space="preserve"> </v>
      </c>
    </row>
    <row r="90" spans="1:14" ht="12.75" hidden="1" customHeight="1" outlineLevel="1" x14ac:dyDescent="0.2"/>
    <row r="91" spans="1:14" ht="12.75" hidden="1" customHeight="1" outlineLevel="1" x14ac:dyDescent="0.2">
      <c r="A91" s="272" t="str">
        <f>"Optional Direct Input of Expense Data"</f>
        <v>Optional Direct Input of Expense Data</v>
      </c>
      <c r="B91" s="272"/>
      <c r="C91" s="272"/>
      <c r="D91" s="272"/>
    </row>
    <row r="92" spans="1:14" ht="12.75" hidden="1" customHeight="1" outlineLevel="2" x14ac:dyDescent="0.2">
      <c r="A92" s="272" t="str">
        <f>""</f>
        <v/>
      </c>
      <c r="B92" s="272"/>
      <c r="C92" s="272"/>
      <c r="D92" s="272"/>
    </row>
    <row r="93" spans="1:14" ht="12.75" hidden="1" customHeight="1" outlineLevel="2" x14ac:dyDescent="0.2">
      <c r="A93" s="269" t="str">
        <f>"You can optionally enter data to override formulas that compute variable operating expense from expense as a percent of revenue."</f>
        <v>You can optionally enter data to override formulas that compute variable operating expense from expense as a percent of revenue.</v>
      </c>
      <c r="B93" s="269"/>
      <c r="C93" s="269"/>
      <c r="D93" s="269"/>
      <c r="E93" s="269"/>
      <c r="F93" s="269"/>
      <c r="G93" s="269"/>
      <c r="H93" s="269"/>
      <c r="I93" s="269"/>
    </row>
    <row r="94" spans="1:14" ht="12.75" hidden="1" customHeight="1" outlineLevel="2" x14ac:dyDescent="0.2">
      <c r="E94" s="17" t="str">
        <f>'(FnCalls 1)'!G7</f>
        <v>Q1 2011</v>
      </c>
      <c r="F94" s="18" t="str">
        <f>'(FnCalls 1)'!G8</f>
        <v>Q2 2011</v>
      </c>
      <c r="G94" s="18" t="str">
        <f>'(FnCalls 1)'!G9</f>
        <v>Q3 2011</v>
      </c>
      <c r="H94" s="18" t="str">
        <f>'(FnCalls 1)'!G10</f>
        <v>Q4 2011</v>
      </c>
      <c r="I94" s="62" t="str">
        <f>'(FnCalls 1)'!H7</f>
        <v>2011</v>
      </c>
      <c r="J94" s="18" t="str">
        <f>'(FnCalls 1)'!G11</f>
        <v>Q1 2012</v>
      </c>
      <c r="K94" s="18" t="str">
        <f>'(FnCalls 1)'!G12</f>
        <v>Q2 2012</v>
      </c>
      <c r="L94" s="18" t="str">
        <f>'(FnCalls 1)'!G13</f>
        <v>Q3 2012</v>
      </c>
      <c r="M94" s="18" t="str">
        <f>'(FnCalls 1)'!G14</f>
        <v>Q4 2012</v>
      </c>
      <c r="N94" s="62" t="str">
        <f>'(FnCalls 1)'!H11</f>
        <v>2012</v>
      </c>
    </row>
    <row r="95" spans="1:14" ht="12.75" hidden="1" customHeight="1" outlineLevel="2" x14ac:dyDescent="0.2">
      <c r="A95" s="5" t="str">
        <f>Labels!B53</f>
        <v>Variable Operating Expense</v>
      </c>
      <c r="B95" s="20" t="str">
        <f>Labels!B182</f>
        <v>Catamarans</v>
      </c>
      <c r="C95" s="42" t="str">
        <f>Labels!B186</f>
        <v>Fuel</v>
      </c>
      <c r="D95" s="43"/>
      <c r="E95" s="44">
        <f>'(Compute)'!B8</f>
        <v>0</v>
      </c>
      <c r="F95" s="44">
        <f>'(Compute)'!C8</f>
        <v>0</v>
      </c>
      <c r="G95" s="44">
        <f>'(Compute)'!D8</f>
        <v>0</v>
      </c>
      <c r="H95" s="44">
        <f>'(Compute)'!E8</f>
        <v>0</v>
      </c>
      <c r="I95" s="75">
        <f>SUM(E95:H95)</f>
        <v>0</v>
      </c>
      <c r="J95" s="44">
        <f>'(Compute)'!G8</f>
        <v>0</v>
      </c>
      <c r="K95" s="44">
        <f>'(Compute)'!H8</f>
        <v>0</v>
      </c>
      <c r="L95" s="44">
        <f>'(Compute)'!I8</f>
        <v>0</v>
      </c>
      <c r="M95" s="44">
        <f>'(Compute)'!J8</f>
        <v>0</v>
      </c>
      <c r="N95" s="75">
        <f>SUM(J95:M95)</f>
        <v>0</v>
      </c>
    </row>
    <row r="96" spans="1:14" ht="12.75" hidden="1" customHeight="1" outlineLevel="2" x14ac:dyDescent="0.2">
      <c r="A96" s="27"/>
      <c r="B96" s="28"/>
      <c r="C96" s="46" t="str">
        <f>Labels!B187</f>
        <v>Maintenance</v>
      </c>
      <c r="D96" s="47"/>
      <c r="E96" s="48">
        <f>'(Compute)'!B11</f>
        <v>0</v>
      </c>
      <c r="F96" s="48">
        <f>'(Compute)'!C11</f>
        <v>0</v>
      </c>
      <c r="G96" s="48">
        <f>'(Compute)'!D11</f>
        <v>0</v>
      </c>
      <c r="H96" s="48">
        <f>'(Compute)'!E11</f>
        <v>0</v>
      </c>
      <c r="I96" s="69">
        <f>SUM(E96:H96)</f>
        <v>0</v>
      </c>
      <c r="J96" s="48">
        <f>'(Compute)'!G11</f>
        <v>0</v>
      </c>
      <c r="K96" s="48">
        <f>'(Compute)'!H11</f>
        <v>0</v>
      </c>
      <c r="L96" s="48">
        <f>'(Compute)'!I11</f>
        <v>0</v>
      </c>
      <c r="M96" s="48">
        <f>'(Compute)'!J11</f>
        <v>0</v>
      </c>
      <c r="N96" s="69">
        <f>SUM(J96:M96)</f>
        <v>0</v>
      </c>
    </row>
    <row r="97" spans="1:16" ht="12.75" hidden="1" customHeight="1" outlineLevel="2" x14ac:dyDescent="0.2">
      <c r="A97" s="27"/>
      <c r="B97" s="28" t="str">
        <f>Labels!B183</f>
        <v>Canoes</v>
      </c>
      <c r="C97" s="46" t="str">
        <f>Labels!B186</f>
        <v>Fuel</v>
      </c>
      <c r="D97" s="47"/>
      <c r="E97" s="48">
        <f>'(Compute)'!B18</f>
        <v>0</v>
      </c>
      <c r="F97" s="48">
        <f>'(Compute)'!C18</f>
        <v>0</v>
      </c>
      <c r="G97" s="48">
        <f>'(Compute)'!D18</f>
        <v>0</v>
      </c>
      <c r="H97" s="48">
        <f>'(Compute)'!E18</f>
        <v>0</v>
      </c>
      <c r="I97" s="69">
        <f>SUM(E97:H97)</f>
        <v>0</v>
      </c>
      <c r="J97" s="48">
        <f>'(Compute)'!G18</f>
        <v>0</v>
      </c>
      <c r="K97" s="48">
        <f>'(Compute)'!H18</f>
        <v>0</v>
      </c>
      <c r="L97" s="48">
        <f>'(Compute)'!I18</f>
        <v>0</v>
      </c>
      <c r="M97" s="48">
        <f>'(Compute)'!J18</f>
        <v>0</v>
      </c>
      <c r="N97" s="69">
        <f>SUM(J97:M97)</f>
        <v>0</v>
      </c>
    </row>
    <row r="98" spans="1:16" ht="12.75" hidden="1" customHeight="1" outlineLevel="2" x14ac:dyDescent="0.2">
      <c r="A98" s="13"/>
      <c r="B98" s="35"/>
      <c r="C98" s="50" t="str">
        <f>Labels!B187</f>
        <v>Maintenance</v>
      </c>
      <c r="D98" s="51"/>
      <c r="E98" s="52">
        <f>'(Compute)'!B21</f>
        <v>0</v>
      </c>
      <c r="F98" s="52">
        <f>'(Compute)'!C21</f>
        <v>0</v>
      </c>
      <c r="G98" s="52">
        <f>'(Compute)'!D21</f>
        <v>0</v>
      </c>
      <c r="H98" s="52">
        <f>'(Compute)'!E21</f>
        <v>0</v>
      </c>
      <c r="I98" s="70">
        <f>SUM(E98:H98)</f>
        <v>0</v>
      </c>
      <c r="J98" s="52">
        <f>'(Compute)'!G21</f>
        <v>0</v>
      </c>
      <c r="K98" s="52">
        <f>'(Compute)'!H21</f>
        <v>0</v>
      </c>
      <c r="L98" s="52">
        <f>'(Compute)'!I21</f>
        <v>0</v>
      </c>
      <c r="M98" s="52">
        <f>'(Compute)'!J21</f>
        <v>0</v>
      </c>
      <c r="N98" s="70">
        <f>SUM(J98:M98)</f>
        <v>0</v>
      </c>
    </row>
    <row r="99" spans="1:16" ht="12.75" hidden="1" customHeight="1" outlineLevel="2" x14ac:dyDescent="0.2"/>
    <row r="100" spans="1:16" ht="12.75" hidden="1" customHeight="1" outlineLevel="2" x14ac:dyDescent="0.2">
      <c r="A100" s="269" t="str">
        <f>"You can optionally enter data to override formulas that compute fixed operating expense from initial values and growth rates."</f>
        <v>You can optionally enter data to override formulas that compute fixed operating expense from initial values and growth rates.</v>
      </c>
      <c r="B100" s="269"/>
      <c r="C100" s="269"/>
      <c r="D100" s="269"/>
      <c r="E100" s="269"/>
      <c r="F100" s="269"/>
      <c r="G100" s="269"/>
      <c r="H100" s="269"/>
      <c r="I100" s="269"/>
    </row>
    <row r="101" spans="1:16" ht="12.75" hidden="1" customHeight="1" outlineLevel="2" x14ac:dyDescent="0.2">
      <c r="A101" s="5" t="str">
        <f>Labels!B49</f>
        <v>Fixed Operating Expense</v>
      </c>
      <c r="B101" s="20" t="str">
        <f>Labels!B182</f>
        <v>Catamarans</v>
      </c>
      <c r="C101" s="42" t="str">
        <f>Labels!B162</f>
        <v>Computers</v>
      </c>
      <c r="D101" s="43"/>
      <c r="E101" s="44">
        <f>IF(OR('(FnCalls 1)'!A7-'(FnCalls 1)'!A7&lt;=0,'(Tables)'!D38=0),0,IF(AND('(Tables)'!D38=1,'(Tables)'!B38=0),E82,0*1+0*0))</f>
        <v>0</v>
      </c>
      <c r="F101" s="44">
        <f>IF(OR('(FnCalls 1)'!A8-'(FnCalls 1)'!A7&lt;=0,'(Tables)'!E38=0),0,IF(AND('(Tables)'!E38=1,'(Tables)'!D38=0),E82,E101*1+E101*'(Tables)'!B99))</f>
        <v>0</v>
      </c>
      <c r="G101" s="44">
        <f>IF(OR('(FnCalls 1)'!A9-'(FnCalls 1)'!A7&lt;=0,'(Tables)'!F38=0),0,IF(AND('(Tables)'!F38=1,'(Tables)'!E38=0),E82,F101*1+F101*'(Tables)'!C99))</f>
        <v>0</v>
      </c>
      <c r="H101" s="44">
        <f>IF(OR('(FnCalls 1)'!A10-'(FnCalls 1)'!A7&lt;=0,'(Tables)'!G38=0),0,IF(AND('(Tables)'!G38=1,'(Tables)'!F38=0),E82,G101*1+G101*'(Tables)'!D99))</f>
        <v>0</v>
      </c>
      <c r="I101" s="75">
        <f>SUM(E101:H101)</f>
        <v>0</v>
      </c>
      <c r="J101" s="44">
        <f>IF(OR('(FnCalls 1)'!A11-'(FnCalls 1)'!A7&lt;=0,'(Tables)'!I38=0),0,IF(AND('(Tables)'!I38=1,'(Tables)'!G38=0),E82,H101*1+H101*'(Tables)'!F99))</f>
        <v>0</v>
      </c>
      <c r="K101" s="44">
        <f>IF(OR('(FnCalls 1)'!A12-'(FnCalls 1)'!A7&lt;=0,'(Tables)'!J38=0),0,IF(AND('(Tables)'!J38=1,'(Tables)'!I38=0),E82,J101*1+J101*'(Tables)'!G99))</f>
        <v>0</v>
      </c>
      <c r="L101" s="44">
        <f>IF(OR('(FnCalls 1)'!A13-'(FnCalls 1)'!A7&lt;=0,'(Tables)'!K38=0),0,IF(AND('(Tables)'!K38=1,'(Tables)'!J38=0),E82,K101*1+K101*'(Tables)'!H99))</f>
        <v>0</v>
      </c>
      <c r="M101" s="44">
        <f>IF(OR('(FnCalls 1)'!A14-'(FnCalls 1)'!A7&lt;=0,'(Tables)'!L38=0),0,IF(AND('(Tables)'!L38=1,'(Tables)'!K38=0),E82,L101*1+L101*'(Tables)'!I99))</f>
        <v>0</v>
      </c>
      <c r="N101" s="75">
        <f>SUM(J101:M101)</f>
        <v>0</v>
      </c>
    </row>
    <row r="102" spans="1:16" ht="12.75" hidden="1" customHeight="1" outlineLevel="2" x14ac:dyDescent="0.2">
      <c r="A102" s="27"/>
      <c r="B102" s="28"/>
      <c r="C102" s="46" t="str">
        <f>Labels!B163</f>
        <v>Vehicles</v>
      </c>
      <c r="D102" s="47"/>
      <c r="E102" s="48">
        <f>IF(OR('(FnCalls 1)'!A7-'(FnCalls 1)'!A7&lt;=0,'(Tables)'!D38=0),0,IF(AND('(Tables)'!D38=1,'(Tables)'!B38=0),E83,0*1+0*0))</f>
        <v>0</v>
      </c>
      <c r="F102" s="48">
        <f>IF(OR('(FnCalls 1)'!A8-'(FnCalls 1)'!A7&lt;=0,'(Tables)'!E38=0),0,IF(AND('(Tables)'!E38=1,'(Tables)'!D38=0),E83,E102*1+E102*'(Tables)'!B100))</f>
        <v>0</v>
      </c>
      <c r="G102" s="48">
        <f>IF(OR('(FnCalls 1)'!A9-'(FnCalls 1)'!A7&lt;=0,'(Tables)'!F38=0),0,IF(AND('(Tables)'!F38=1,'(Tables)'!E38=0),E83,F102*1+F102*'(Tables)'!C100))</f>
        <v>0</v>
      </c>
      <c r="H102" s="48">
        <f>IF(OR('(FnCalls 1)'!A10-'(FnCalls 1)'!A7&lt;=0,'(Tables)'!G38=0),0,IF(AND('(Tables)'!G38=1,'(Tables)'!F38=0),E83,G102*1+G102*'(Tables)'!D100))</f>
        <v>0</v>
      </c>
      <c r="I102" s="69">
        <f>SUM(E102:H102)</f>
        <v>0</v>
      </c>
      <c r="J102" s="48">
        <f>IF(OR('(FnCalls 1)'!A11-'(FnCalls 1)'!A7&lt;=0,'(Tables)'!I38=0),0,IF(AND('(Tables)'!I38=1,'(Tables)'!G38=0),E83,H102*1+H102*'(Tables)'!F100))</f>
        <v>0</v>
      </c>
      <c r="K102" s="48">
        <f>IF(OR('(FnCalls 1)'!A12-'(FnCalls 1)'!A7&lt;=0,'(Tables)'!J38=0),0,IF(AND('(Tables)'!J38=1,'(Tables)'!I38=0),E83,J102*1+J102*'(Tables)'!G100))</f>
        <v>0</v>
      </c>
      <c r="L102" s="48">
        <f>IF(OR('(FnCalls 1)'!A13-'(FnCalls 1)'!A7&lt;=0,'(Tables)'!K38=0),0,IF(AND('(Tables)'!K38=1,'(Tables)'!J38=0),E83,K102*1+K102*'(Tables)'!H100))</f>
        <v>0</v>
      </c>
      <c r="M102" s="48">
        <f>IF(OR('(FnCalls 1)'!A14-'(FnCalls 1)'!A7&lt;=0,'(Tables)'!L38=0),0,IF(AND('(Tables)'!L38=1,'(Tables)'!K38=0),E83,L102*1+L102*'(Tables)'!I100))</f>
        <v>0</v>
      </c>
      <c r="N102" s="69">
        <f>SUM(J102:M102)</f>
        <v>0</v>
      </c>
    </row>
    <row r="103" spans="1:16" ht="12.75" hidden="1" customHeight="1" outlineLevel="2" x14ac:dyDescent="0.2">
      <c r="A103" s="27"/>
      <c r="B103" s="28" t="str">
        <f>Labels!B183</f>
        <v>Canoes</v>
      </c>
      <c r="C103" s="46" t="str">
        <f>Labels!B162</f>
        <v>Computers</v>
      </c>
      <c r="D103" s="47"/>
      <c r="E103" s="48">
        <f>IF(OR('(FnCalls 1)'!A7-'(FnCalls 1)'!A7&lt;=0,'(Tables)'!D42=0),0,IF(AND('(Tables)'!D42=1,'(Tables)'!B42=0),F82,0*1+0*0))</f>
        <v>0</v>
      </c>
      <c r="F103" s="48">
        <f>IF(OR('(FnCalls 1)'!A8-'(FnCalls 1)'!A7&lt;=0,'(Tables)'!E42=0),0,IF(AND('(Tables)'!E42=1,'(Tables)'!D42=0),F82,E103*1+E103*'(Tables)'!B103))</f>
        <v>0</v>
      </c>
      <c r="G103" s="48">
        <f>IF(OR('(FnCalls 1)'!A9-'(FnCalls 1)'!A7&lt;=0,'(Tables)'!F42=0),0,IF(AND('(Tables)'!F42=1,'(Tables)'!E42=0),F82,F103*1+F103*'(Tables)'!C103))</f>
        <v>0</v>
      </c>
      <c r="H103" s="48">
        <f>IF(OR('(FnCalls 1)'!A10-'(FnCalls 1)'!A7&lt;=0,'(Tables)'!G42=0),0,IF(AND('(Tables)'!G42=1,'(Tables)'!F42=0),F82,G103*1+G103*'(Tables)'!D103))</f>
        <v>0</v>
      </c>
      <c r="I103" s="69">
        <f>SUM(E103:H103)</f>
        <v>0</v>
      </c>
      <c r="J103" s="48">
        <f>IF(OR('(FnCalls 1)'!A11-'(FnCalls 1)'!A7&lt;=0,'(Tables)'!I42=0),0,IF(AND('(Tables)'!I42=1,'(Tables)'!G42=0),F82,H103*1+H103*'(Tables)'!F103))</f>
        <v>0</v>
      </c>
      <c r="K103" s="48">
        <f>IF(OR('(FnCalls 1)'!A12-'(FnCalls 1)'!A7&lt;=0,'(Tables)'!J42=0),0,IF(AND('(Tables)'!J42=1,'(Tables)'!I42=0),F82,J103*1+J103*'(Tables)'!G103))</f>
        <v>0</v>
      </c>
      <c r="L103" s="48">
        <f>IF(OR('(FnCalls 1)'!A13-'(FnCalls 1)'!A7&lt;=0,'(Tables)'!K42=0),0,IF(AND('(Tables)'!K42=1,'(Tables)'!J42=0),F82,K103*1+K103*'(Tables)'!H103))</f>
        <v>0</v>
      </c>
      <c r="M103" s="48">
        <f>IF(OR('(FnCalls 1)'!A14-'(FnCalls 1)'!A7&lt;=0,'(Tables)'!L42=0),0,IF(AND('(Tables)'!L42=1,'(Tables)'!K42=0),F82,L103*1+L103*'(Tables)'!I103))</f>
        <v>0</v>
      </c>
      <c r="N103" s="69">
        <f>SUM(J103:M103)</f>
        <v>0</v>
      </c>
    </row>
    <row r="104" spans="1:16" ht="12.75" hidden="1" customHeight="1" outlineLevel="2" x14ac:dyDescent="0.2">
      <c r="A104" s="13"/>
      <c r="B104" s="35"/>
      <c r="C104" s="50" t="str">
        <f>Labels!B163</f>
        <v>Vehicles</v>
      </c>
      <c r="D104" s="51"/>
      <c r="E104" s="52">
        <f>IF(OR('(FnCalls 1)'!A7-'(FnCalls 1)'!A7&lt;=0,'(Tables)'!D42=0),0,IF(AND('(Tables)'!D42=1,'(Tables)'!B42=0),F83,0*1+0*0))</f>
        <v>0</v>
      </c>
      <c r="F104" s="52">
        <f>IF(OR('(FnCalls 1)'!A8-'(FnCalls 1)'!A7&lt;=0,'(Tables)'!E42=0),0,IF(AND('(Tables)'!E42=1,'(Tables)'!D42=0),F83,E104*1+E104*'(Tables)'!B104))</f>
        <v>0</v>
      </c>
      <c r="G104" s="52">
        <f>IF(OR('(FnCalls 1)'!A9-'(FnCalls 1)'!A7&lt;=0,'(Tables)'!F42=0),0,IF(AND('(Tables)'!F42=1,'(Tables)'!E42=0),F83,F104*1+F104*'(Tables)'!C104))</f>
        <v>0</v>
      </c>
      <c r="H104" s="52">
        <f>IF(OR('(FnCalls 1)'!A10-'(FnCalls 1)'!A7&lt;=0,'(Tables)'!G42=0),0,IF(AND('(Tables)'!G42=1,'(Tables)'!F42=0),F83,G104*1+G104*'(Tables)'!D104))</f>
        <v>0</v>
      </c>
      <c r="I104" s="70">
        <f>SUM(E104:H104)</f>
        <v>0</v>
      </c>
      <c r="J104" s="52">
        <f>IF(OR('(FnCalls 1)'!A11-'(FnCalls 1)'!A7&lt;=0,'(Tables)'!I42=0),0,IF(AND('(Tables)'!I42=1,'(Tables)'!G42=0),F83,H104*1+H104*'(Tables)'!F104))</f>
        <v>0</v>
      </c>
      <c r="K104" s="52">
        <f>IF(OR('(FnCalls 1)'!A12-'(FnCalls 1)'!A7&lt;=0,'(Tables)'!J42=0),0,IF(AND('(Tables)'!J42=1,'(Tables)'!I42=0),F83,J104*1+J104*'(Tables)'!G104))</f>
        <v>0</v>
      </c>
      <c r="L104" s="52">
        <f>IF(OR('(FnCalls 1)'!A13-'(FnCalls 1)'!A7&lt;=0,'(Tables)'!K42=0),0,IF(AND('(Tables)'!K42=1,'(Tables)'!J42=0),F83,K104*1+K104*'(Tables)'!H104))</f>
        <v>0</v>
      </c>
      <c r="M104" s="52">
        <f>IF(OR('(FnCalls 1)'!A14-'(FnCalls 1)'!A7&lt;=0,'(Tables)'!L42=0),0,IF(AND('(Tables)'!L42=1,'(Tables)'!K42=0),F83,L104*1+L104*'(Tables)'!I104))</f>
        <v>0</v>
      </c>
      <c r="N104" s="70">
        <f>SUM(J104:M104)</f>
        <v>0</v>
      </c>
    </row>
    <row r="105" spans="1:16" ht="12.75" hidden="1" customHeight="1" outlineLevel="2" x14ac:dyDescent="0.2"/>
    <row r="106" spans="1:16" ht="12.75" hidden="1" customHeight="1" outlineLevel="2" collapsed="1" x14ac:dyDescent="0.2"/>
    <row r="107" spans="1:16" ht="12.75" hidden="1" customHeight="1" outlineLevel="1" collapsed="1" x14ac:dyDescent="0.2">
      <c r="E107" s="17" t="str">
        <f>'(FnCalls 1)'!G6</f>
        <v>Q4 2010</v>
      </c>
      <c r="F107" s="62" t="str">
        <f>'(FnCalls 1)'!H4</f>
        <v>2010</v>
      </c>
      <c r="G107" s="18" t="str">
        <f>'(FnCalls 1)'!G7</f>
        <v>Q1 2011</v>
      </c>
      <c r="H107" s="18" t="str">
        <f>'(FnCalls 1)'!G8</f>
        <v>Q2 2011</v>
      </c>
      <c r="I107" s="18" t="str">
        <f>'(FnCalls 1)'!G9</f>
        <v>Q3 2011</v>
      </c>
      <c r="J107" s="18" t="str">
        <f>'(FnCalls 1)'!G10</f>
        <v>Q4 2011</v>
      </c>
      <c r="K107" s="62" t="str">
        <f>'(FnCalls 1)'!H7</f>
        <v>2011</v>
      </c>
      <c r="L107" s="18" t="str">
        <f>'(FnCalls 1)'!G11</f>
        <v>Q1 2012</v>
      </c>
      <c r="M107" s="18" t="str">
        <f>'(FnCalls 1)'!G12</f>
        <v>Q2 2012</v>
      </c>
      <c r="N107" s="18" t="str">
        <f>'(FnCalls 1)'!G13</f>
        <v>Q3 2012</v>
      </c>
      <c r="O107" s="18" t="str">
        <f>'(FnCalls 1)'!G14</f>
        <v>Q4 2012</v>
      </c>
      <c r="P107" s="62" t="str">
        <f>'(FnCalls 1)'!H11</f>
        <v>2012</v>
      </c>
    </row>
    <row r="108" spans="1:16" ht="12.75" hidden="1" customHeight="1" outlineLevel="1" x14ac:dyDescent="0.2">
      <c r="A108" s="9" t="str">
        <f>Labels!B62</f>
        <v>Income Tax Rate</v>
      </c>
      <c r="B108" s="10"/>
      <c r="C108" s="10"/>
      <c r="D108" s="11"/>
      <c r="E108" s="82">
        <f>0</f>
        <v>0</v>
      </c>
      <c r="F108" s="83">
        <f>E108</f>
        <v>0</v>
      </c>
      <c r="G108" s="82">
        <f>E108</f>
        <v>0</v>
      </c>
      <c r="H108" s="82">
        <f>G108</f>
        <v>0</v>
      </c>
      <c r="I108" s="82">
        <f>H108</f>
        <v>0</v>
      </c>
      <c r="J108" s="82">
        <f>I108</f>
        <v>0</v>
      </c>
      <c r="K108" s="83">
        <f>J108</f>
        <v>0</v>
      </c>
      <c r="L108" s="82">
        <f>J108</f>
        <v>0</v>
      </c>
      <c r="M108" s="82">
        <f>L108</f>
        <v>0</v>
      </c>
      <c r="N108" s="82">
        <f>M108</f>
        <v>0</v>
      </c>
      <c r="O108" s="82">
        <f>N108</f>
        <v>0</v>
      </c>
      <c r="P108" s="83">
        <f>O108</f>
        <v>0</v>
      </c>
    </row>
    <row r="109" spans="1:16" ht="12.75" hidden="1" customHeight="1" outlineLevel="1" x14ac:dyDescent="0.2"/>
    <row r="110" spans="1:16" ht="12.75" hidden="1" customHeight="1" outlineLevel="1" collapsed="1" x14ac:dyDescent="0.2"/>
    <row r="111" spans="1:16" ht="12.75" customHeight="1" collapsed="1" x14ac:dyDescent="0.2"/>
    <row r="112" spans="1:16" ht="12.75" customHeight="1" x14ac:dyDescent="0.2">
      <c r="A112" s="2" t="str">
        <f>"Financing Input Data"</f>
        <v>Financing Input Data</v>
      </c>
    </row>
    <row r="113" spans="1:16" ht="12.75" hidden="1" customHeight="1" outlineLevel="1" x14ac:dyDescent="0.2">
      <c r="A113" s="1" t="str">
        <f>""</f>
        <v/>
      </c>
    </row>
    <row r="114" spans="1:16" ht="12.75" hidden="1" customHeight="1" outlineLevel="1" x14ac:dyDescent="0.2">
      <c r="A114" s="3" t="str">
        <f>"Discount Rate"</f>
        <v>Discount Rate</v>
      </c>
    </row>
    <row r="115" spans="1:16" ht="12.75" hidden="1" customHeight="1" outlineLevel="2" x14ac:dyDescent="0.2">
      <c r="A115" s="3" t="str">
        <f>" "</f>
        <v xml:space="preserve"> </v>
      </c>
    </row>
    <row r="116" spans="1:16" ht="12.75" hidden="1" customHeight="1" outlineLevel="2" x14ac:dyDescent="0.2">
      <c r="A116" s="9" t="str">
        <f>Labels!B40</f>
        <v>Discount Method (Direct or CAPM)</v>
      </c>
      <c r="B116" s="10"/>
      <c r="C116" s="10"/>
      <c r="D116" s="11"/>
      <c r="E116" s="84" t="s">
        <v>186</v>
      </c>
    </row>
    <row r="117" spans="1:16" ht="12.75" hidden="1" customHeight="1" outlineLevel="2" x14ac:dyDescent="0.2"/>
    <row r="118" spans="1:16" ht="12.75" hidden="1" customHeight="1" outlineLevel="2" x14ac:dyDescent="0.2">
      <c r="A118" s="269" t="str">
        <f>"Parameters for Direct Discount Rate"</f>
        <v>Parameters for Direct Discount Rate</v>
      </c>
      <c r="B118" s="269"/>
      <c r="C118" s="269"/>
    </row>
    <row r="119" spans="1:16" ht="12.75" hidden="1" customHeight="1" outlineLevel="2" x14ac:dyDescent="0.2">
      <c r="A119" s="269" t="str">
        <f>" "</f>
        <v xml:space="preserve"> </v>
      </c>
      <c r="B119" s="269"/>
      <c r="C119" s="269"/>
    </row>
    <row r="120" spans="1:16" ht="12.75" hidden="1" customHeight="1" outlineLevel="2" x14ac:dyDescent="0.2">
      <c r="E120" s="17" t="str">
        <f>'(FnCalls 1)'!G6</f>
        <v>Q4 2010</v>
      </c>
      <c r="F120" s="62" t="str">
        <f>'(FnCalls 1)'!H4</f>
        <v>2010</v>
      </c>
      <c r="G120" s="18" t="str">
        <f>'(FnCalls 1)'!G7</f>
        <v>Q1 2011</v>
      </c>
      <c r="H120" s="18" t="str">
        <f>'(FnCalls 1)'!G8</f>
        <v>Q2 2011</v>
      </c>
      <c r="I120" s="18" t="str">
        <f>'(FnCalls 1)'!G9</f>
        <v>Q3 2011</v>
      </c>
      <c r="J120" s="18" t="str">
        <f>'(FnCalls 1)'!G10</f>
        <v>Q4 2011</v>
      </c>
      <c r="K120" s="62" t="str">
        <f>'(FnCalls 1)'!H7</f>
        <v>2011</v>
      </c>
      <c r="L120" s="18" t="str">
        <f>'(FnCalls 1)'!G11</f>
        <v>Q1 2012</v>
      </c>
      <c r="M120" s="18" t="str">
        <f>'(FnCalls 1)'!G12</f>
        <v>Q2 2012</v>
      </c>
      <c r="N120" s="18" t="str">
        <f>'(FnCalls 1)'!G13</f>
        <v>Q3 2012</v>
      </c>
      <c r="O120" s="18" t="str">
        <f>'(FnCalls 1)'!G14</f>
        <v>Q4 2012</v>
      </c>
      <c r="P120" s="62" t="str">
        <f>'(FnCalls 1)'!H11</f>
        <v>2012</v>
      </c>
    </row>
    <row r="121" spans="1:16" ht="12.75" hidden="1" customHeight="1" outlineLevel="2" x14ac:dyDescent="0.2">
      <c r="A121" s="5" t="str">
        <f>Labels!B44</f>
        <v>Discount Rate Default (Yr)</v>
      </c>
      <c r="B121" s="20" t="str">
        <f>Labels!B182</f>
        <v>Catamarans</v>
      </c>
      <c r="C121" s="20"/>
      <c r="D121" s="21"/>
      <c r="E121" s="85">
        <f>0.15</f>
        <v>0.15</v>
      </c>
      <c r="F121" s="65">
        <f>E121</f>
        <v>0.15</v>
      </c>
      <c r="G121" s="85">
        <f>E121</f>
        <v>0.15</v>
      </c>
      <c r="H121" s="85">
        <f>G121</f>
        <v>0.15</v>
      </c>
      <c r="I121" s="85">
        <f>H121</f>
        <v>0.15</v>
      </c>
      <c r="J121" s="85">
        <f>I121</f>
        <v>0.15</v>
      </c>
      <c r="K121" s="65">
        <f>AVERAGE(G121:J121)</f>
        <v>0.15</v>
      </c>
      <c r="L121" s="85">
        <f>J121</f>
        <v>0.15</v>
      </c>
      <c r="M121" s="85">
        <f>L121</f>
        <v>0.15</v>
      </c>
      <c r="N121" s="85">
        <f>M121</f>
        <v>0.15</v>
      </c>
      <c r="O121" s="85">
        <f>N121</f>
        <v>0.15</v>
      </c>
      <c r="P121" s="65">
        <f>AVERAGE(L121:O121)</f>
        <v>0.15</v>
      </c>
    </row>
    <row r="122" spans="1:16" ht="12.75" hidden="1" customHeight="1" outlineLevel="2" x14ac:dyDescent="0.2">
      <c r="A122" s="13"/>
      <c r="B122" s="35" t="str">
        <f>Labels!B183</f>
        <v>Canoes</v>
      </c>
      <c r="C122" s="35"/>
      <c r="D122" s="36"/>
      <c r="E122" s="86">
        <f>E121</f>
        <v>0.15</v>
      </c>
      <c r="F122" s="87">
        <f>E122</f>
        <v>0.15</v>
      </c>
      <c r="G122" s="86">
        <f>G121</f>
        <v>0.15</v>
      </c>
      <c r="H122" s="86">
        <f>H121</f>
        <v>0.15</v>
      </c>
      <c r="I122" s="86">
        <f>I121</f>
        <v>0.15</v>
      </c>
      <c r="J122" s="86">
        <f>J121</f>
        <v>0.15</v>
      </c>
      <c r="K122" s="87">
        <f>AVERAGE(G122:J122)</f>
        <v>0.15</v>
      </c>
      <c r="L122" s="86">
        <f>L121</f>
        <v>0.15</v>
      </c>
      <c r="M122" s="86">
        <f>M121</f>
        <v>0.15</v>
      </c>
      <c r="N122" s="86">
        <f>N121</f>
        <v>0.15</v>
      </c>
      <c r="O122" s="86">
        <f>O121</f>
        <v>0.15</v>
      </c>
      <c r="P122" s="87">
        <f>AVERAGE(L122:O122)</f>
        <v>0.15</v>
      </c>
    </row>
    <row r="123" spans="1:16" ht="12.75" hidden="1" customHeight="1" outlineLevel="2" x14ac:dyDescent="0.2"/>
    <row r="124" spans="1:16" ht="12.75" hidden="1" customHeight="1" outlineLevel="2" x14ac:dyDescent="0.2">
      <c r="A124" s="269" t="str">
        <f>"Parameters for CAPM Discount Rate"</f>
        <v>Parameters for CAPM Discount Rate</v>
      </c>
      <c r="B124" s="269"/>
      <c r="C124" s="269"/>
    </row>
    <row r="125" spans="1:16" ht="12.75" hidden="1" customHeight="1" outlineLevel="3" x14ac:dyDescent="0.2">
      <c r="A125" s="269" t="str">
        <f>" "</f>
        <v xml:space="preserve"> </v>
      </c>
      <c r="B125" s="269"/>
      <c r="C125" s="269"/>
    </row>
    <row r="126" spans="1:16" ht="12.75" hidden="1" customHeight="1" outlineLevel="3" x14ac:dyDescent="0.2">
      <c r="A126" s="5" t="str">
        <f>Labels!B6</f>
        <v>Beta</v>
      </c>
      <c r="B126" s="20" t="str">
        <f>Labels!B182</f>
        <v>Catamarans</v>
      </c>
      <c r="C126" s="20"/>
      <c r="D126" s="21"/>
      <c r="E126" s="88">
        <f>1</f>
        <v>1</v>
      </c>
    </row>
    <row r="127" spans="1:16" ht="12.75" hidden="1" customHeight="1" outlineLevel="3" x14ac:dyDescent="0.2">
      <c r="A127" s="13"/>
      <c r="B127" s="35" t="str">
        <f>Labels!B183</f>
        <v>Canoes</v>
      </c>
      <c r="C127" s="35"/>
      <c r="D127" s="36"/>
      <c r="E127" s="89">
        <f>1</f>
        <v>1</v>
      </c>
    </row>
    <row r="128" spans="1:16" ht="12.75" hidden="1" customHeight="1" outlineLevel="3" x14ac:dyDescent="0.2"/>
    <row r="129" spans="1:16" ht="12.75" hidden="1" customHeight="1" outlineLevel="3" x14ac:dyDescent="0.2">
      <c r="E129" s="17" t="str">
        <f>'(FnCalls 1)'!G6</f>
        <v>Q4 2010</v>
      </c>
      <c r="F129" s="62" t="str">
        <f>'(FnCalls 1)'!H4</f>
        <v>2010</v>
      </c>
      <c r="G129" s="18" t="str">
        <f>'(FnCalls 1)'!G7</f>
        <v>Q1 2011</v>
      </c>
      <c r="H129" s="18" t="str">
        <f>'(FnCalls 1)'!G8</f>
        <v>Q2 2011</v>
      </c>
      <c r="I129" s="18" t="str">
        <f>'(FnCalls 1)'!G9</f>
        <v>Q3 2011</v>
      </c>
      <c r="J129" s="18" t="str">
        <f>'(FnCalls 1)'!G10</f>
        <v>Q4 2011</v>
      </c>
      <c r="K129" s="62" t="str">
        <f>'(FnCalls 1)'!H7</f>
        <v>2011</v>
      </c>
      <c r="L129" s="18" t="str">
        <f>'(FnCalls 1)'!G11</f>
        <v>Q1 2012</v>
      </c>
      <c r="M129" s="18" t="str">
        <f>'(FnCalls 1)'!G12</f>
        <v>Q2 2012</v>
      </c>
      <c r="N129" s="18" t="str">
        <f>'(FnCalls 1)'!G13</f>
        <v>Q3 2012</v>
      </c>
      <c r="O129" s="18" t="str">
        <f>'(FnCalls 1)'!G14</f>
        <v>Q4 2012</v>
      </c>
      <c r="P129" s="62" t="str">
        <f>'(FnCalls 1)'!H11</f>
        <v>2012</v>
      </c>
    </row>
    <row r="130" spans="1:16" ht="12.75" hidden="1" customHeight="1" outlineLevel="3" x14ac:dyDescent="0.2">
      <c r="A130" s="5" t="str">
        <f>Labels!B103</f>
        <v>Riskless Discount Rate (Yr)</v>
      </c>
      <c r="B130" s="6"/>
      <c r="C130" s="6"/>
      <c r="D130" s="7"/>
      <c r="E130" s="90">
        <f>0.04</f>
        <v>0.04</v>
      </c>
      <c r="F130" s="65">
        <f>E130</f>
        <v>0.04</v>
      </c>
      <c r="G130" s="90">
        <f>E130</f>
        <v>0.04</v>
      </c>
      <c r="H130" s="90">
        <f>G130</f>
        <v>0.04</v>
      </c>
      <c r="I130" s="90">
        <f>H130</f>
        <v>0.04</v>
      </c>
      <c r="J130" s="90">
        <f>I130</f>
        <v>0.04</v>
      </c>
      <c r="K130" s="65">
        <f>AVERAGE(G130:J130)</f>
        <v>0.04</v>
      </c>
      <c r="L130" s="90">
        <f>J130</f>
        <v>0.04</v>
      </c>
      <c r="M130" s="90">
        <f>L130</f>
        <v>0.04</v>
      </c>
      <c r="N130" s="90">
        <f>M130</f>
        <v>0.04</v>
      </c>
      <c r="O130" s="90">
        <f>N130</f>
        <v>0.04</v>
      </c>
      <c r="P130" s="65">
        <f>AVERAGE(L130:O130)</f>
        <v>0.04</v>
      </c>
    </row>
    <row r="131" spans="1:16" ht="12.75" hidden="1" customHeight="1" outlineLevel="3" x14ac:dyDescent="0.2">
      <c r="A131" s="9"/>
      <c r="B131" s="10"/>
      <c r="C131" s="10"/>
      <c r="D131" s="11"/>
      <c r="E131" s="10"/>
      <c r="F131" s="12"/>
      <c r="G131" s="10"/>
      <c r="H131" s="10"/>
      <c r="I131" s="10"/>
      <c r="J131" s="10"/>
      <c r="K131" s="12"/>
      <c r="L131" s="10"/>
      <c r="M131" s="10"/>
      <c r="N131" s="10"/>
      <c r="O131" s="10"/>
      <c r="P131" s="12"/>
    </row>
    <row r="132" spans="1:16" ht="12.75" hidden="1" customHeight="1" outlineLevel="3" x14ac:dyDescent="0.2">
      <c r="A132" s="13" t="str">
        <f>Labels!B101</f>
        <v>Market Risk Premium (Yr)</v>
      </c>
      <c r="B132" s="14"/>
      <c r="C132" s="14"/>
      <c r="D132" s="15"/>
      <c r="E132" s="91">
        <f>0.055</f>
        <v>5.5E-2</v>
      </c>
      <c r="F132" s="87">
        <f>0.055</f>
        <v>5.5E-2</v>
      </c>
      <c r="G132" s="91">
        <f>E132</f>
        <v>5.5E-2</v>
      </c>
      <c r="H132" s="91">
        <f>G132</f>
        <v>5.5E-2</v>
      </c>
      <c r="I132" s="91">
        <f>H132</f>
        <v>5.5E-2</v>
      </c>
      <c r="J132" s="91">
        <f>I132</f>
        <v>5.5E-2</v>
      </c>
      <c r="K132" s="87">
        <f>0.055</f>
        <v>5.5E-2</v>
      </c>
      <c r="L132" s="91">
        <f>J132</f>
        <v>5.5E-2</v>
      </c>
      <c r="M132" s="91">
        <f>L132</f>
        <v>5.5E-2</v>
      </c>
      <c r="N132" s="91">
        <f>M132</f>
        <v>5.5E-2</v>
      </c>
      <c r="O132" s="91">
        <f>N132</f>
        <v>5.5E-2</v>
      </c>
      <c r="P132" s="87">
        <f>0.055</f>
        <v>5.5E-2</v>
      </c>
    </row>
    <row r="133" spans="1:16" ht="12.75" hidden="1" customHeight="1" outlineLevel="3" x14ac:dyDescent="0.2"/>
    <row r="134" spans="1:16" ht="12.75" hidden="1" customHeight="1" outlineLevel="3" collapsed="1" x14ac:dyDescent="0.2"/>
    <row r="135" spans="1:16" ht="12.75" hidden="1" customHeight="1" outlineLevel="2" collapsed="1" x14ac:dyDescent="0.2"/>
    <row r="136" spans="1:16" ht="12.75" hidden="1" customHeight="1" outlineLevel="1" collapsed="1" x14ac:dyDescent="0.2">
      <c r="A136" s="272" t="str">
        <f>"Financing Scenarios (Equity, Debt, Lease)"</f>
        <v>Financing Scenarios (Equity, Debt, Lease)</v>
      </c>
      <c r="B136" s="272"/>
    </row>
    <row r="137" spans="1:16" ht="12.75" hidden="1" customHeight="1" outlineLevel="2" x14ac:dyDescent="0.2">
      <c r="A137" s="272" t="str">
        <f>""</f>
        <v/>
      </c>
      <c r="B137" s="272"/>
    </row>
    <row r="138" spans="1:16" ht="12.75" hidden="1" customHeight="1" outlineLevel="2" x14ac:dyDescent="0.2">
      <c r="A138" s="269" t="str">
        <f>"This model allows "&amp;3&amp;" financing scenarios. Each scenario has a different blend of equity, debt and lease financing for fixed investments."</f>
        <v>This model allows 3 financing scenarios. Each scenario has a different blend of equity, debt and lease financing for fixed investments.</v>
      </c>
      <c r="B138" s="269"/>
      <c r="C138" s="269"/>
      <c r="D138" s="269"/>
      <c r="E138" s="269"/>
      <c r="F138" s="269"/>
      <c r="G138" s="269"/>
      <c r="H138" s="269"/>
    </row>
    <row r="139" spans="1:16" ht="12.75" hidden="1" customHeight="1" outlineLevel="2" x14ac:dyDescent="0.2">
      <c r="A139" s="9" t="str">
        <f>Labels!B59</f>
        <v>Financing Scenario</v>
      </c>
      <c r="B139" s="10"/>
      <c r="C139" s="10"/>
      <c r="D139" s="11"/>
      <c r="E139" s="92">
        <v>1</v>
      </c>
    </row>
    <row r="140" spans="1:16" ht="12.75" hidden="1" customHeight="1" outlineLevel="2" x14ac:dyDescent="0.2"/>
    <row r="141" spans="1:16" ht="12.75" hidden="1" customHeight="1" outlineLevel="2" x14ac:dyDescent="0.2">
      <c r="A141" s="3" t="str">
        <f>"Financing Weights"</f>
        <v>Financing Weights</v>
      </c>
    </row>
    <row r="142" spans="1:16" ht="12.75" hidden="1" customHeight="1" outlineLevel="2" x14ac:dyDescent="0.2">
      <c r="A142" s="3" t="str">
        <f>""</f>
        <v/>
      </c>
    </row>
    <row r="143" spans="1:16" ht="12.75" hidden="1" customHeight="1" outlineLevel="2" x14ac:dyDescent="0.2">
      <c r="E143" s="17" t="str">
        <f>Labels!B157</f>
        <v>Equity</v>
      </c>
      <c r="F143" s="18" t="str">
        <f>Labels!B158</f>
        <v>Debt</v>
      </c>
      <c r="G143" s="19" t="str">
        <f>Labels!B159</f>
        <v>Lease</v>
      </c>
    </row>
    <row r="144" spans="1:16" ht="12.75" hidden="1" customHeight="1" outlineLevel="2" x14ac:dyDescent="0.2">
      <c r="A144" s="5" t="str">
        <f>Labels!B57</f>
        <v>Financing Weights</v>
      </c>
      <c r="B144" s="20" t="str">
        <f>Labels!B177</f>
        <v>Scenario 1</v>
      </c>
      <c r="C144" s="42" t="str">
        <f>Labels!B182</f>
        <v>Catamarans</v>
      </c>
      <c r="D144" s="43" t="str">
        <f>Labels!B170</f>
        <v>Invest 1</v>
      </c>
      <c r="E144" s="93">
        <f t="shared" ref="E144:E155" si="8">1-SUM(F144:G144)</f>
        <v>1</v>
      </c>
      <c r="F144" s="93">
        <f>0</f>
        <v>0</v>
      </c>
      <c r="G144" s="94">
        <f>0</f>
        <v>0</v>
      </c>
    </row>
    <row r="145" spans="1:16" ht="12.75" hidden="1" customHeight="1" outlineLevel="2" x14ac:dyDescent="0.2">
      <c r="A145" s="27"/>
      <c r="B145" s="28"/>
      <c r="C145" s="46"/>
      <c r="D145" s="47" t="str">
        <f>Labels!B171</f>
        <v>Invest 2</v>
      </c>
      <c r="E145" s="95">
        <f t="shared" si="8"/>
        <v>1</v>
      </c>
      <c r="F145" s="95">
        <f>0</f>
        <v>0</v>
      </c>
      <c r="G145" s="96">
        <f>0</f>
        <v>0</v>
      </c>
    </row>
    <row r="146" spans="1:16" ht="12.75" hidden="1" customHeight="1" outlineLevel="2" x14ac:dyDescent="0.2">
      <c r="A146" s="27"/>
      <c r="B146" s="28"/>
      <c r="C146" s="46" t="str">
        <f>Labels!B183</f>
        <v>Canoes</v>
      </c>
      <c r="D146" s="47" t="str">
        <f>Labels!B170</f>
        <v>Invest 1</v>
      </c>
      <c r="E146" s="95">
        <f t="shared" si="8"/>
        <v>1</v>
      </c>
      <c r="F146" s="95">
        <f>0</f>
        <v>0</v>
      </c>
      <c r="G146" s="96">
        <f>0</f>
        <v>0</v>
      </c>
    </row>
    <row r="147" spans="1:16" ht="12.75" hidden="1" customHeight="1" outlineLevel="2" x14ac:dyDescent="0.2">
      <c r="A147" s="27"/>
      <c r="B147" s="28"/>
      <c r="C147" s="46"/>
      <c r="D147" s="47" t="str">
        <f>Labels!B171</f>
        <v>Invest 2</v>
      </c>
      <c r="E147" s="95">
        <f t="shared" si="8"/>
        <v>1</v>
      </c>
      <c r="F147" s="95">
        <f>0</f>
        <v>0</v>
      </c>
      <c r="G147" s="96">
        <f>0</f>
        <v>0</v>
      </c>
    </row>
    <row r="148" spans="1:16" ht="12.75" hidden="1" customHeight="1" outlineLevel="2" x14ac:dyDescent="0.2">
      <c r="A148" s="27"/>
      <c r="B148" s="28" t="str">
        <f>Labels!B178</f>
        <v>Scenario 2</v>
      </c>
      <c r="C148" s="46" t="str">
        <f>Labels!B182</f>
        <v>Catamarans</v>
      </c>
      <c r="D148" s="47" t="str">
        <f>Labels!B170</f>
        <v>Invest 1</v>
      </c>
      <c r="E148" s="95">
        <f t="shared" si="8"/>
        <v>1</v>
      </c>
      <c r="F148" s="95">
        <f>0</f>
        <v>0</v>
      </c>
      <c r="G148" s="96">
        <f>0</f>
        <v>0</v>
      </c>
    </row>
    <row r="149" spans="1:16" ht="12.75" hidden="1" customHeight="1" outlineLevel="2" x14ac:dyDescent="0.2">
      <c r="A149" s="27"/>
      <c r="B149" s="28"/>
      <c r="C149" s="46"/>
      <c r="D149" s="47" t="str">
        <f>Labels!B171</f>
        <v>Invest 2</v>
      </c>
      <c r="E149" s="95">
        <f t="shared" si="8"/>
        <v>1</v>
      </c>
      <c r="F149" s="95">
        <f>0</f>
        <v>0</v>
      </c>
      <c r="G149" s="96">
        <f>0</f>
        <v>0</v>
      </c>
    </row>
    <row r="150" spans="1:16" ht="12.75" hidden="1" customHeight="1" outlineLevel="2" x14ac:dyDescent="0.2">
      <c r="A150" s="27"/>
      <c r="B150" s="28"/>
      <c r="C150" s="46" t="str">
        <f>Labels!B183</f>
        <v>Canoes</v>
      </c>
      <c r="D150" s="47" t="str">
        <f>Labels!B170</f>
        <v>Invest 1</v>
      </c>
      <c r="E150" s="95">
        <f t="shared" si="8"/>
        <v>1</v>
      </c>
      <c r="F150" s="95">
        <f>0</f>
        <v>0</v>
      </c>
      <c r="G150" s="96">
        <f>0</f>
        <v>0</v>
      </c>
    </row>
    <row r="151" spans="1:16" ht="12.75" hidden="1" customHeight="1" outlineLevel="2" x14ac:dyDescent="0.2">
      <c r="A151" s="27"/>
      <c r="B151" s="28"/>
      <c r="C151" s="46"/>
      <c r="D151" s="47" t="str">
        <f>Labels!B171</f>
        <v>Invest 2</v>
      </c>
      <c r="E151" s="95">
        <f t="shared" si="8"/>
        <v>1</v>
      </c>
      <c r="F151" s="95">
        <f>0</f>
        <v>0</v>
      </c>
      <c r="G151" s="96">
        <f>0</f>
        <v>0</v>
      </c>
    </row>
    <row r="152" spans="1:16" ht="12.75" hidden="1" customHeight="1" outlineLevel="2" x14ac:dyDescent="0.2">
      <c r="A152" s="27"/>
      <c r="B152" s="28" t="str">
        <f>Labels!B179</f>
        <v>Scenario 3</v>
      </c>
      <c r="C152" s="46" t="str">
        <f>Labels!B182</f>
        <v>Catamarans</v>
      </c>
      <c r="D152" s="47" t="str">
        <f>Labels!B170</f>
        <v>Invest 1</v>
      </c>
      <c r="E152" s="95">
        <f t="shared" si="8"/>
        <v>1</v>
      </c>
      <c r="F152" s="95">
        <f>0</f>
        <v>0</v>
      </c>
      <c r="G152" s="96">
        <f>0</f>
        <v>0</v>
      </c>
    </row>
    <row r="153" spans="1:16" ht="12.75" hidden="1" customHeight="1" outlineLevel="2" x14ac:dyDescent="0.2">
      <c r="A153" s="27"/>
      <c r="B153" s="28"/>
      <c r="C153" s="46"/>
      <c r="D153" s="47" t="str">
        <f>Labels!B171</f>
        <v>Invest 2</v>
      </c>
      <c r="E153" s="95">
        <f t="shared" si="8"/>
        <v>1</v>
      </c>
      <c r="F153" s="95">
        <f>0</f>
        <v>0</v>
      </c>
      <c r="G153" s="96">
        <f>0</f>
        <v>0</v>
      </c>
    </row>
    <row r="154" spans="1:16" ht="12.75" hidden="1" customHeight="1" outlineLevel="2" x14ac:dyDescent="0.2">
      <c r="A154" s="27"/>
      <c r="B154" s="28"/>
      <c r="C154" s="46" t="str">
        <f>Labels!B183</f>
        <v>Canoes</v>
      </c>
      <c r="D154" s="47" t="str">
        <f>Labels!B170</f>
        <v>Invest 1</v>
      </c>
      <c r="E154" s="95">
        <f t="shared" si="8"/>
        <v>1</v>
      </c>
      <c r="F154" s="95">
        <f>0</f>
        <v>0</v>
      </c>
      <c r="G154" s="96">
        <f>0</f>
        <v>0</v>
      </c>
    </row>
    <row r="155" spans="1:16" ht="12.75" hidden="1" customHeight="1" outlineLevel="2" x14ac:dyDescent="0.2">
      <c r="A155" s="13"/>
      <c r="B155" s="35"/>
      <c r="C155" s="50"/>
      <c r="D155" s="51" t="str">
        <f>Labels!B171</f>
        <v>Invest 2</v>
      </c>
      <c r="E155" s="97">
        <f t="shared" si="8"/>
        <v>1</v>
      </c>
      <c r="F155" s="97">
        <f>0</f>
        <v>0</v>
      </c>
      <c r="G155" s="98">
        <f>0</f>
        <v>0</v>
      </c>
    </row>
    <row r="156" spans="1:16" ht="12.75" hidden="1" customHeight="1" outlineLevel="2" x14ac:dyDescent="0.2"/>
    <row r="157" spans="1:16" ht="12.75" hidden="1" customHeight="1" outlineLevel="2" collapsed="1" x14ac:dyDescent="0.2"/>
    <row r="158" spans="1:16" ht="12.75" hidden="1" customHeight="1" outlineLevel="1" collapsed="1" x14ac:dyDescent="0.2">
      <c r="A158" s="3" t="str">
        <f>"Debt Parameters"</f>
        <v>Debt Parameters</v>
      </c>
    </row>
    <row r="159" spans="1:16" ht="12.75" hidden="1" customHeight="1" outlineLevel="2" x14ac:dyDescent="0.2">
      <c r="A159" s="3" t="str">
        <f>""</f>
        <v/>
      </c>
    </row>
    <row r="160" spans="1:16" ht="12.75" hidden="1" customHeight="1" outlineLevel="2" x14ac:dyDescent="0.2">
      <c r="E160" s="17" t="str">
        <f>'(FnCalls 1)'!G6</f>
        <v>Q4 2010</v>
      </c>
      <c r="F160" s="62" t="str">
        <f>'(FnCalls 1)'!H4</f>
        <v>2010</v>
      </c>
      <c r="G160" s="18" t="str">
        <f>'(FnCalls 1)'!G7</f>
        <v>Q1 2011</v>
      </c>
      <c r="H160" s="18" t="str">
        <f>'(FnCalls 1)'!G8</f>
        <v>Q2 2011</v>
      </c>
      <c r="I160" s="18" t="str">
        <f>'(FnCalls 1)'!G9</f>
        <v>Q3 2011</v>
      </c>
      <c r="J160" s="18" t="str">
        <f>'(FnCalls 1)'!G10</f>
        <v>Q4 2011</v>
      </c>
      <c r="K160" s="62" t="str">
        <f>'(FnCalls 1)'!H7</f>
        <v>2011</v>
      </c>
      <c r="L160" s="18" t="str">
        <f>'(FnCalls 1)'!G11</f>
        <v>Q1 2012</v>
      </c>
      <c r="M160" s="18" t="str">
        <f>'(FnCalls 1)'!G12</f>
        <v>Q2 2012</v>
      </c>
      <c r="N160" s="18" t="str">
        <f>'(FnCalls 1)'!G13</f>
        <v>Q3 2012</v>
      </c>
      <c r="O160" s="18" t="str">
        <f>'(FnCalls 1)'!G14</f>
        <v>Q4 2012</v>
      </c>
      <c r="P160" s="62" t="str">
        <f>'(FnCalls 1)'!H11</f>
        <v>2012</v>
      </c>
    </row>
    <row r="161" spans="1:16" ht="12.75" hidden="1" customHeight="1" outlineLevel="2" x14ac:dyDescent="0.2">
      <c r="A161" s="5" t="str">
        <f>Labels!B12</f>
        <v>Borrowing Rate (Yr)</v>
      </c>
      <c r="B161" s="20" t="str">
        <f>Labels!B182</f>
        <v>Catamarans</v>
      </c>
      <c r="C161" s="42" t="str">
        <f>Labels!B170</f>
        <v>Invest 1</v>
      </c>
      <c r="D161" s="43"/>
      <c r="E161" s="64">
        <f>0.1</f>
        <v>0.1</v>
      </c>
      <c r="F161" s="65">
        <f>E161</f>
        <v>0.1</v>
      </c>
      <c r="G161" s="64">
        <f>E161</f>
        <v>0.1</v>
      </c>
      <c r="H161" s="64">
        <f t="shared" ref="H161:J164" si="9">G161</f>
        <v>0.1</v>
      </c>
      <c r="I161" s="64">
        <f t="shared" si="9"/>
        <v>0.1</v>
      </c>
      <c r="J161" s="64">
        <f t="shared" si="9"/>
        <v>0.1</v>
      </c>
      <c r="K161" s="65">
        <f>AVERAGE(G161:J161)</f>
        <v>0.1</v>
      </c>
      <c r="L161" s="64">
        <f>J161</f>
        <v>0.1</v>
      </c>
      <c r="M161" s="64">
        <f t="shared" ref="M161:O164" si="10">L161</f>
        <v>0.1</v>
      </c>
      <c r="N161" s="64">
        <f t="shared" si="10"/>
        <v>0.1</v>
      </c>
      <c r="O161" s="64">
        <f t="shared" si="10"/>
        <v>0.1</v>
      </c>
      <c r="P161" s="65">
        <f>AVERAGE(L161:O161)</f>
        <v>0.1</v>
      </c>
    </row>
    <row r="162" spans="1:16" ht="12.75" hidden="1" customHeight="1" outlineLevel="2" x14ac:dyDescent="0.2">
      <c r="A162" s="27"/>
      <c r="B162" s="28"/>
      <c r="C162" s="46" t="str">
        <f>Labels!B171</f>
        <v>Invest 2</v>
      </c>
      <c r="D162" s="47"/>
      <c r="E162" s="67">
        <f>E161</f>
        <v>0.1</v>
      </c>
      <c r="F162" s="68">
        <f>E162</f>
        <v>0.1</v>
      </c>
      <c r="G162" s="67">
        <f>E162</f>
        <v>0.1</v>
      </c>
      <c r="H162" s="67">
        <f t="shared" si="9"/>
        <v>0.1</v>
      </c>
      <c r="I162" s="67">
        <f t="shared" si="9"/>
        <v>0.1</v>
      </c>
      <c r="J162" s="67">
        <f t="shared" si="9"/>
        <v>0.1</v>
      </c>
      <c r="K162" s="68">
        <f>AVERAGE(G162:J162)</f>
        <v>0.1</v>
      </c>
      <c r="L162" s="67">
        <f>J162</f>
        <v>0.1</v>
      </c>
      <c r="M162" s="67">
        <f t="shared" si="10"/>
        <v>0.1</v>
      </c>
      <c r="N162" s="67">
        <f t="shared" si="10"/>
        <v>0.1</v>
      </c>
      <c r="O162" s="67">
        <f t="shared" si="10"/>
        <v>0.1</v>
      </c>
      <c r="P162" s="68">
        <f>AVERAGE(L162:O162)</f>
        <v>0.1</v>
      </c>
    </row>
    <row r="163" spans="1:16" ht="12.75" hidden="1" customHeight="1" outlineLevel="2" x14ac:dyDescent="0.2">
      <c r="A163" s="27"/>
      <c r="B163" s="28" t="str">
        <f>Labels!B183</f>
        <v>Canoes</v>
      </c>
      <c r="C163" s="46" t="str">
        <f>Labels!B170</f>
        <v>Invest 1</v>
      </c>
      <c r="D163" s="47"/>
      <c r="E163" s="67">
        <f>0.1</f>
        <v>0.1</v>
      </c>
      <c r="F163" s="68">
        <f>E163</f>
        <v>0.1</v>
      </c>
      <c r="G163" s="67">
        <f>E163</f>
        <v>0.1</v>
      </c>
      <c r="H163" s="67">
        <f t="shared" si="9"/>
        <v>0.1</v>
      </c>
      <c r="I163" s="67">
        <f t="shared" si="9"/>
        <v>0.1</v>
      </c>
      <c r="J163" s="67">
        <f t="shared" si="9"/>
        <v>0.1</v>
      </c>
      <c r="K163" s="68">
        <f>AVERAGE(G163:J163)</f>
        <v>0.1</v>
      </c>
      <c r="L163" s="67">
        <f>J163</f>
        <v>0.1</v>
      </c>
      <c r="M163" s="67">
        <f t="shared" si="10"/>
        <v>0.1</v>
      </c>
      <c r="N163" s="67">
        <f t="shared" si="10"/>
        <v>0.1</v>
      </c>
      <c r="O163" s="67">
        <f t="shared" si="10"/>
        <v>0.1</v>
      </c>
      <c r="P163" s="68">
        <f>AVERAGE(L163:O163)</f>
        <v>0.1</v>
      </c>
    </row>
    <row r="164" spans="1:16" ht="12.75" hidden="1" customHeight="1" outlineLevel="2" x14ac:dyDescent="0.2">
      <c r="A164" s="13"/>
      <c r="B164" s="35"/>
      <c r="C164" s="50" t="str">
        <f>Labels!B171</f>
        <v>Invest 2</v>
      </c>
      <c r="D164" s="51"/>
      <c r="E164" s="99">
        <f>E163</f>
        <v>0.1</v>
      </c>
      <c r="F164" s="87">
        <f>E164</f>
        <v>0.1</v>
      </c>
      <c r="G164" s="99">
        <f>E164</f>
        <v>0.1</v>
      </c>
      <c r="H164" s="99">
        <f t="shared" si="9"/>
        <v>0.1</v>
      </c>
      <c r="I164" s="99">
        <f t="shared" si="9"/>
        <v>0.1</v>
      </c>
      <c r="J164" s="99">
        <f t="shared" si="9"/>
        <v>0.1</v>
      </c>
      <c r="K164" s="87">
        <f>AVERAGE(G164:J164)</f>
        <v>0.1</v>
      </c>
      <c r="L164" s="99">
        <f>J164</f>
        <v>0.1</v>
      </c>
      <c r="M164" s="99">
        <f t="shared" si="10"/>
        <v>0.1</v>
      </c>
      <c r="N164" s="99">
        <f t="shared" si="10"/>
        <v>0.1</v>
      </c>
      <c r="O164" s="99">
        <f t="shared" si="10"/>
        <v>0.1</v>
      </c>
      <c r="P164" s="87">
        <f>AVERAGE(L164:O164)</f>
        <v>0.1</v>
      </c>
    </row>
    <row r="165" spans="1:16" ht="12.75" hidden="1" customHeight="1" outlineLevel="2" x14ac:dyDescent="0.2"/>
    <row r="166" spans="1:16" ht="12.75" hidden="1" customHeight="1" outlineLevel="2" x14ac:dyDescent="0.2">
      <c r="E166" s="17" t="str">
        <f>Labels!B182</f>
        <v>Catamarans</v>
      </c>
      <c r="F166" s="19" t="str">
        <f>Labels!B183</f>
        <v>Canoes</v>
      </c>
    </row>
    <row r="167" spans="1:16" ht="12.75" hidden="1" customHeight="1" outlineLevel="2" x14ac:dyDescent="0.2">
      <c r="A167" s="5" t="str">
        <f>Labels!B30</f>
        <v>Debt Balloon Payment</v>
      </c>
      <c r="B167" s="20" t="str">
        <f>Labels!B170</f>
        <v>Invest 1</v>
      </c>
      <c r="C167" s="20"/>
      <c r="D167" s="21"/>
      <c r="E167" s="54">
        <f>0/2/2</f>
        <v>0</v>
      </c>
      <c r="F167" s="55">
        <f>0/2/2</f>
        <v>0</v>
      </c>
    </row>
    <row r="168" spans="1:16" ht="12.75" hidden="1" customHeight="1" outlineLevel="2" x14ac:dyDescent="0.2">
      <c r="A168" s="13"/>
      <c r="B168" s="35" t="str">
        <f>Labels!B171</f>
        <v>Invest 2</v>
      </c>
      <c r="C168" s="35"/>
      <c r="D168" s="36"/>
      <c r="E168" s="100">
        <f>0/2/2</f>
        <v>0</v>
      </c>
      <c r="F168" s="101">
        <f>0/2/2</f>
        <v>0</v>
      </c>
    </row>
    <row r="169" spans="1:16" ht="12.75" hidden="1" customHeight="1" outlineLevel="2" x14ac:dyDescent="0.2"/>
    <row r="170" spans="1:16" ht="12.75" hidden="1" customHeight="1" outlineLevel="2" collapsed="1" x14ac:dyDescent="0.2"/>
    <row r="171" spans="1:16" ht="12.75" hidden="1" customHeight="1" outlineLevel="1" collapsed="1" x14ac:dyDescent="0.2">
      <c r="A171" s="3" t="str">
        <f>"Lease Parameters"</f>
        <v>Lease Parameters</v>
      </c>
    </row>
    <row r="172" spans="1:16" ht="12.75" hidden="1" customHeight="1" outlineLevel="2" x14ac:dyDescent="0.2">
      <c r="A172" s="3" t="str">
        <f>""</f>
        <v/>
      </c>
    </row>
    <row r="173" spans="1:16" ht="12.75" hidden="1" customHeight="1" outlineLevel="2" x14ac:dyDescent="0.2">
      <c r="A173" s="3" t="str">
        <f>"Effective Lease Rate"</f>
        <v>Effective Lease Rate</v>
      </c>
    </row>
    <row r="174" spans="1:16" ht="12.75" hidden="1" customHeight="1" outlineLevel="2" x14ac:dyDescent="0.2">
      <c r="A174" s="3" t="str">
        <f>" "</f>
        <v xml:space="preserve"> </v>
      </c>
    </row>
    <row r="175" spans="1:16" ht="12.75" hidden="1" customHeight="1" outlineLevel="2" x14ac:dyDescent="0.2">
      <c r="E175" s="17" t="str">
        <f>'(FnCalls 1)'!G6</f>
        <v>Q4 2010</v>
      </c>
      <c r="F175" s="62" t="str">
        <f>'(FnCalls 1)'!H4</f>
        <v>2010</v>
      </c>
      <c r="G175" s="18" t="str">
        <f>'(FnCalls 1)'!G7</f>
        <v>Q1 2011</v>
      </c>
      <c r="H175" s="18" t="str">
        <f>'(FnCalls 1)'!G8</f>
        <v>Q2 2011</v>
      </c>
      <c r="I175" s="18" t="str">
        <f>'(FnCalls 1)'!G9</f>
        <v>Q3 2011</v>
      </c>
      <c r="J175" s="18" t="str">
        <f>'(FnCalls 1)'!G10</f>
        <v>Q4 2011</v>
      </c>
      <c r="K175" s="62" t="str">
        <f>'(FnCalls 1)'!H7</f>
        <v>2011</v>
      </c>
      <c r="L175" s="18" t="str">
        <f>'(FnCalls 1)'!G11</f>
        <v>Q1 2012</v>
      </c>
      <c r="M175" s="18" t="str">
        <f>'(FnCalls 1)'!G12</f>
        <v>Q2 2012</v>
      </c>
      <c r="N175" s="18" t="str">
        <f>'(FnCalls 1)'!G13</f>
        <v>Q3 2012</v>
      </c>
      <c r="O175" s="18" t="str">
        <f>'(FnCalls 1)'!G14</f>
        <v>Q4 2012</v>
      </c>
      <c r="P175" s="62" t="str">
        <f>'(FnCalls 1)'!H11</f>
        <v>2012</v>
      </c>
    </row>
    <row r="176" spans="1:16" ht="12.75" hidden="1" customHeight="1" outlineLevel="2" x14ac:dyDescent="0.2">
      <c r="A176" s="5" t="str">
        <f>Labels!B89</f>
        <v>Leasing Rate (Yr)</v>
      </c>
      <c r="B176" s="20" t="str">
        <f>Labels!B182</f>
        <v>Catamarans</v>
      </c>
      <c r="C176" s="42" t="str">
        <f>Labels!B170</f>
        <v>Invest 1</v>
      </c>
      <c r="D176" s="43"/>
      <c r="E176" s="64">
        <f>0</f>
        <v>0</v>
      </c>
      <c r="F176" s="65">
        <f>E176</f>
        <v>0</v>
      </c>
      <c r="G176" s="64">
        <f>E176</f>
        <v>0</v>
      </c>
      <c r="H176" s="64">
        <f t="shared" ref="H176:J177" si="11">G176</f>
        <v>0</v>
      </c>
      <c r="I176" s="64">
        <f t="shared" si="11"/>
        <v>0</v>
      </c>
      <c r="J176" s="64">
        <f t="shared" si="11"/>
        <v>0</v>
      </c>
      <c r="K176" s="65">
        <f>AVERAGE(G176:J176)</f>
        <v>0</v>
      </c>
      <c r="L176" s="64">
        <f>J176</f>
        <v>0</v>
      </c>
      <c r="M176" s="64">
        <f t="shared" ref="M176:O177" si="12">L176</f>
        <v>0</v>
      </c>
      <c r="N176" s="64">
        <f t="shared" si="12"/>
        <v>0</v>
      </c>
      <c r="O176" s="64">
        <f t="shared" si="12"/>
        <v>0</v>
      </c>
      <c r="P176" s="65">
        <f>AVERAGE(L176:O176)</f>
        <v>0</v>
      </c>
    </row>
    <row r="177" spans="1:16" ht="12.75" hidden="1" customHeight="1" outlineLevel="2" x14ac:dyDescent="0.2">
      <c r="A177" s="27"/>
      <c r="B177" s="28"/>
      <c r="C177" s="46" t="str">
        <f>Labels!B171</f>
        <v>Invest 2</v>
      </c>
      <c r="D177" s="47"/>
      <c r="E177" s="67">
        <f>0</f>
        <v>0</v>
      </c>
      <c r="F177" s="68">
        <f>E177</f>
        <v>0</v>
      </c>
      <c r="G177" s="67">
        <f>E177</f>
        <v>0</v>
      </c>
      <c r="H177" s="67">
        <f t="shared" si="11"/>
        <v>0</v>
      </c>
      <c r="I177" s="67">
        <f t="shared" si="11"/>
        <v>0</v>
      </c>
      <c r="J177" s="67">
        <f t="shared" si="11"/>
        <v>0</v>
      </c>
      <c r="K177" s="68">
        <f>AVERAGE(G177:J177)</f>
        <v>0</v>
      </c>
      <c r="L177" s="67">
        <f>J177</f>
        <v>0</v>
      </c>
      <c r="M177" s="67">
        <f t="shared" si="12"/>
        <v>0</v>
      </c>
      <c r="N177" s="67">
        <f t="shared" si="12"/>
        <v>0</v>
      </c>
      <c r="O177" s="67">
        <f t="shared" si="12"/>
        <v>0</v>
      </c>
      <c r="P177" s="68">
        <f>AVERAGE(L177:O177)</f>
        <v>0</v>
      </c>
    </row>
    <row r="178" spans="1:16" ht="12.75" hidden="1" customHeight="1" outlineLevel="2" x14ac:dyDescent="0.2">
      <c r="A178" s="27"/>
      <c r="B178" s="28" t="str">
        <f>Labels!B183</f>
        <v>Canoes</v>
      </c>
      <c r="C178" s="46" t="str">
        <f>Labels!B170</f>
        <v>Invest 1</v>
      </c>
      <c r="D178" s="47"/>
      <c r="E178" s="67">
        <f>E176</f>
        <v>0</v>
      </c>
      <c r="F178" s="68">
        <f>E178</f>
        <v>0</v>
      </c>
      <c r="G178" s="67">
        <f t="shared" ref="G178:J179" si="13">G176</f>
        <v>0</v>
      </c>
      <c r="H178" s="67">
        <f t="shared" si="13"/>
        <v>0</v>
      </c>
      <c r="I178" s="67">
        <f t="shared" si="13"/>
        <v>0</v>
      </c>
      <c r="J178" s="67">
        <f t="shared" si="13"/>
        <v>0</v>
      </c>
      <c r="K178" s="68">
        <f>AVERAGE(G178:J178)</f>
        <v>0</v>
      </c>
      <c r="L178" s="67">
        <f t="shared" ref="L178:O179" si="14">L176</f>
        <v>0</v>
      </c>
      <c r="M178" s="67">
        <f t="shared" si="14"/>
        <v>0</v>
      </c>
      <c r="N178" s="67">
        <f t="shared" si="14"/>
        <v>0</v>
      </c>
      <c r="O178" s="67">
        <f t="shared" si="14"/>
        <v>0</v>
      </c>
      <c r="P178" s="68">
        <f>AVERAGE(L178:O178)</f>
        <v>0</v>
      </c>
    </row>
    <row r="179" spans="1:16" ht="12.75" hidden="1" customHeight="1" outlineLevel="2" x14ac:dyDescent="0.2">
      <c r="A179" s="13"/>
      <c r="B179" s="35"/>
      <c r="C179" s="50" t="str">
        <f>Labels!B171</f>
        <v>Invest 2</v>
      </c>
      <c r="D179" s="51"/>
      <c r="E179" s="99">
        <f>E177</f>
        <v>0</v>
      </c>
      <c r="F179" s="87">
        <f>E179</f>
        <v>0</v>
      </c>
      <c r="G179" s="99">
        <f t="shared" si="13"/>
        <v>0</v>
      </c>
      <c r="H179" s="99">
        <f t="shared" si="13"/>
        <v>0</v>
      </c>
      <c r="I179" s="99">
        <f t="shared" si="13"/>
        <v>0</v>
      </c>
      <c r="J179" s="99">
        <f t="shared" si="13"/>
        <v>0</v>
      </c>
      <c r="K179" s="87">
        <f>AVERAGE(G179:J179)</f>
        <v>0</v>
      </c>
      <c r="L179" s="99">
        <f t="shared" si="14"/>
        <v>0</v>
      </c>
      <c r="M179" s="99">
        <f t="shared" si="14"/>
        <v>0</v>
      </c>
      <c r="N179" s="99">
        <f t="shared" si="14"/>
        <v>0</v>
      </c>
      <c r="O179" s="99">
        <f t="shared" si="14"/>
        <v>0</v>
      </c>
      <c r="P179" s="87">
        <f>AVERAGE(L179:O179)</f>
        <v>0</v>
      </c>
    </row>
    <row r="180" spans="1:16" ht="12.75" hidden="1" customHeight="1" outlineLevel="2" x14ac:dyDescent="0.2"/>
    <row r="181" spans="1:16" ht="12.75" hidden="1" customHeight="1" outlineLevel="2" x14ac:dyDescent="0.2">
      <c r="E181" s="17" t="str">
        <f>Labels!B182</f>
        <v>Catamarans</v>
      </c>
      <c r="F181" s="19" t="str">
        <f>Labels!B183</f>
        <v>Canoes</v>
      </c>
    </row>
    <row r="182" spans="1:16" ht="12.75" hidden="1" customHeight="1" outlineLevel="2" x14ac:dyDescent="0.2">
      <c r="A182" s="5" t="str">
        <f>Labels!B86</f>
        <v>Lease Balloon Payment</v>
      </c>
      <c r="B182" s="20" t="str">
        <f>Labels!B170</f>
        <v>Invest 1</v>
      </c>
      <c r="C182" s="20"/>
      <c r="D182" s="21"/>
      <c r="E182" s="54">
        <f>0/2/2</f>
        <v>0</v>
      </c>
      <c r="F182" s="55">
        <f>0/2/2</f>
        <v>0</v>
      </c>
    </row>
    <row r="183" spans="1:16" ht="12.75" hidden="1" customHeight="1" outlineLevel="2" x14ac:dyDescent="0.2">
      <c r="A183" s="13"/>
      <c r="B183" s="35" t="str">
        <f>Labels!B171</f>
        <v>Invest 2</v>
      </c>
      <c r="C183" s="35"/>
      <c r="D183" s="36"/>
      <c r="E183" s="100">
        <f>0/2/2</f>
        <v>0</v>
      </c>
      <c r="F183" s="101">
        <f>0/2/2</f>
        <v>0</v>
      </c>
    </row>
    <row r="184" spans="1:16" ht="12.75" hidden="1" customHeight="1" outlineLevel="2" x14ac:dyDescent="0.2"/>
    <row r="185" spans="1:16" ht="12.75" hidden="1" customHeight="1" outlineLevel="2" collapsed="1" x14ac:dyDescent="0.2"/>
    <row r="186" spans="1:16" ht="12.75" hidden="1" customHeight="1" outlineLevel="1" collapsed="1" x14ac:dyDescent="0.2">
      <c r="A186" s="3" t="str">
        <f>"IRR Initial Guess"</f>
        <v>IRR Initial Guess</v>
      </c>
    </row>
    <row r="187" spans="1:16" ht="12.75" hidden="1" customHeight="1" outlineLevel="2" x14ac:dyDescent="0.2">
      <c r="A187" s="3" t="str">
        <f>""</f>
        <v/>
      </c>
    </row>
    <row r="188" spans="1:16" ht="12.75" hidden="1" customHeight="1" outlineLevel="2" x14ac:dyDescent="0.2">
      <c r="A188" s="5" t="str">
        <f>Labels!B82</f>
        <v>IRR Initial Guess (Yr)</v>
      </c>
      <c r="B188" s="20" t="str">
        <f>Labels!B182</f>
        <v>Catamarans</v>
      </c>
      <c r="C188" s="20"/>
      <c r="D188" s="21"/>
      <c r="E188" s="102">
        <f>0</f>
        <v>0</v>
      </c>
    </row>
    <row r="189" spans="1:16" ht="12.75" hidden="1" customHeight="1" outlineLevel="2" x14ac:dyDescent="0.2">
      <c r="A189" s="13"/>
      <c r="B189" s="35" t="str">
        <f>Labels!B183</f>
        <v>Canoes</v>
      </c>
      <c r="C189" s="35"/>
      <c r="D189" s="36"/>
      <c r="E189" s="103">
        <f>0</f>
        <v>0</v>
      </c>
    </row>
    <row r="190" spans="1:16" ht="12.75" hidden="1" customHeight="1" outlineLevel="2" x14ac:dyDescent="0.2"/>
    <row r="191" spans="1:16" ht="12.75" hidden="1" customHeight="1" outlineLevel="2" x14ac:dyDescent="0.2">
      <c r="A191" s="5" t="str">
        <f>Labels!B83</f>
        <v>IRR Initial Guess (Yr)</v>
      </c>
      <c r="B191" s="20" t="str">
        <f>Labels!B182</f>
        <v>Catamarans</v>
      </c>
      <c r="C191" s="20"/>
      <c r="D191" s="21"/>
      <c r="E191" s="102">
        <f>0</f>
        <v>0</v>
      </c>
    </row>
    <row r="192" spans="1:16" ht="12.75" hidden="1" customHeight="1" outlineLevel="2" x14ac:dyDescent="0.2">
      <c r="A192" s="13"/>
      <c r="B192" s="35" t="str">
        <f>Labels!B183</f>
        <v>Canoes</v>
      </c>
      <c r="C192" s="35"/>
      <c r="D192" s="36"/>
      <c r="E192" s="103">
        <f>0</f>
        <v>0</v>
      </c>
    </row>
    <row r="193" spans="1:16" ht="12.75" hidden="1" customHeight="1" outlineLevel="2" x14ac:dyDescent="0.2"/>
    <row r="194" spans="1:16" ht="12.75" hidden="1" customHeight="1" outlineLevel="2" collapsed="1" x14ac:dyDescent="0.2"/>
    <row r="195" spans="1:16" ht="12.75" hidden="1" customHeight="1" outlineLevel="1" collapsed="1" x14ac:dyDescent="0.2"/>
    <row r="196" spans="1:16" ht="12.75" customHeight="1" collapsed="1" x14ac:dyDescent="0.2"/>
    <row r="197" spans="1:16" ht="12.75" customHeight="1" x14ac:dyDescent="0.2">
      <c r="A197" s="271" t="str">
        <f>"Tail Parameters (after model time)"</f>
        <v>Tail Parameters (after model time)</v>
      </c>
      <c r="B197" s="271"/>
      <c r="C197" s="271"/>
    </row>
    <row r="198" spans="1:16" ht="12.75" hidden="1" customHeight="1" outlineLevel="1" x14ac:dyDescent="0.2">
      <c r="A198" s="1" t="str">
        <f>""</f>
        <v/>
      </c>
    </row>
    <row r="199" spans="1:16" ht="12.75" hidden="1" customHeight="1" outlineLevel="1" x14ac:dyDescent="0.2">
      <c r="A199" s="5" t="str">
        <f>Labels!B109</f>
        <v>Tail Discount Rate (Yr)</v>
      </c>
      <c r="B199" s="6"/>
      <c r="C199" s="6"/>
      <c r="D199" s="7"/>
      <c r="E199" s="102">
        <v>0.15</v>
      </c>
    </row>
    <row r="200" spans="1:16" ht="12.75" hidden="1" customHeight="1" outlineLevel="1" x14ac:dyDescent="0.2">
      <c r="A200" s="13" t="str">
        <f>Labels!B120</f>
        <v>Tail Early Time (Yr)</v>
      </c>
      <c r="B200" s="14"/>
      <c r="C200" s="14"/>
      <c r="D200" s="15"/>
      <c r="E200" s="89"/>
    </row>
    <row r="201" spans="1:16" ht="12.75" hidden="1" customHeight="1" outlineLevel="1" x14ac:dyDescent="0.2"/>
    <row r="202" spans="1:16" ht="12.75" hidden="1" customHeight="1" outlineLevel="1" x14ac:dyDescent="0.2">
      <c r="A202" s="5" t="str">
        <f>Labels!B115</f>
        <v>Early Growth % (Yr)</v>
      </c>
      <c r="B202" s="20" t="str">
        <f>Labels!B182</f>
        <v>Catamarans</v>
      </c>
      <c r="C202" s="20"/>
      <c r="D202" s="21"/>
      <c r="E202" s="104">
        <f>0</f>
        <v>0</v>
      </c>
    </row>
    <row r="203" spans="1:16" ht="12.75" hidden="1" customHeight="1" outlineLevel="1" x14ac:dyDescent="0.2">
      <c r="A203" s="27"/>
      <c r="B203" s="28" t="str">
        <f>Labels!B183</f>
        <v>Canoes</v>
      </c>
      <c r="C203" s="28"/>
      <c r="D203" s="29"/>
      <c r="E203" s="105">
        <f>0</f>
        <v>0</v>
      </c>
    </row>
    <row r="204" spans="1:16" ht="12.75" hidden="1" customHeight="1" outlineLevel="1" x14ac:dyDescent="0.2">
      <c r="A204" s="27" t="str">
        <f>Labels!B117</f>
        <v>Late Growth % (Yr)</v>
      </c>
      <c r="B204" s="28" t="str">
        <f>Labels!B182</f>
        <v>Catamarans</v>
      </c>
      <c r="C204" s="28"/>
      <c r="D204" s="29"/>
      <c r="E204" s="105">
        <f>0</f>
        <v>0</v>
      </c>
    </row>
    <row r="205" spans="1:16" ht="12.75" hidden="1" customHeight="1" outlineLevel="1" x14ac:dyDescent="0.2">
      <c r="A205" s="13"/>
      <c r="B205" s="35" t="str">
        <f>Labels!B183</f>
        <v>Canoes</v>
      </c>
      <c r="C205" s="35"/>
      <c r="D205" s="36"/>
      <c r="E205" s="106">
        <f>0</f>
        <v>0</v>
      </c>
    </row>
    <row r="206" spans="1:16" ht="12.75" hidden="1" customHeight="1" outlineLevel="1" x14ac:dyDescent="0.2"/>
    <row r="207" spans="1:16" ht="12.75" hidden="1" customHeight="1" outlineLevel="1" collapsed="1" x14ac:dyDescent="0.2">
      <c r="A207" t="s">
        <v>841</v>
      </c>
      <c r="B207" t="s">
        <v>841</v>
      </c>
      <c r="C207" t="s">
        <v>841</v>
      </c>
      <c r="D207" t="s">
        <v>841</v>
      </c>
      <c r="E207" t="s">
        <v>841</v>
      </c>
      <c r="F207" t="s">
        <v>841</v>
      </c>
      <c r="G207" t="s">
        <v>841</v>
      </c>
      <c r="H207" t="s">
        <v>841</v>
      </c>
      <c r="I207" t="s">
        <v>841</v>
      </c>
      <c r="J207" t="s">
        <v>841</v>
      </c>
      <c r="K207" t="s">
        <v>841</v>
      </c>
      <c r="L207" t="s">
        <v>841</v>
      </c>
      <c r="M207" t="s">
        <v>841</v>
      </c>
      <c r="N207" t="s">
        <v>841</v>
      </c>
      <c r="O207" t="s">
        <v>841</v>
      </c>
      <c r="P207" t="s">
        <v>841</v>
      </c>
    </row>
    <row r="208" spans="1:16" ht="12.75" customHeight="1" collapsed="1" x14ac:dyDescent="0.2"/>
  </sheetData>
  <mergeCells count="26">
    <mergeCell ref="A138:H138"/>
    <mergeCell ref="A197:C197"/>
    <mergeCell ref="A118:C118"/>
    <mergeCell ref="A119:C119"/>
    <mergeCell ref="A124:C124"/>
    <mergeCell ref="A125:C125"/>
    <mergeCell ref="A136:B136"/>
    <mergeCell ref="A137:B137"/>
    <mergeCell ref="A100:I100"/>
    <mergeCell ref="A12:B12"/>
    <mergeCell ref="A14:B14"/>
    <mergeCell ref="A15:B15"/>
    <mergeCell ref="A21:H21"/>
    <mergeCell ref="A48:B48"/>
    <mergeCell ref="A61:D61"/>
    <mergeCell ref="A66:D66"/>
    <mergeCell ref="A73:B73"/>
    <mergeCell ref="A91:D91"/>
    <mergeCell ref="A92:D92"/>
    <mergeCell ref="A93:I93"/>
    <mergeCell ref="A6:D6"/>
    <mergeCell ref="A1:D1"/>
    <mergeCell ref="A2:D2"/>
    <mergeCell ref="A3:D3"/>
    <mergeCell ref="A4:D4"/>
    <mergeCell ref="A5:D5"/>
  </mergeCells>
  <pageMargins left="0.25" right="0.25" top="0.5" bottom="0.5" header="0.5" footer="0.5"/>
  <pageSetup paperSize="9" fitToHeight="32767" orientation="landscape"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161"/>
  <sheetViews>
    <sheetView zoomScaleNormal="100" workbookViewId="0"/>
  </sheetViews>
  <sheetFormatPr defaultRowHeight="12.75" customHeight="1" outlineLevelRow="2" x14ac:dyDescent="0.2"/>
  <cols>
    <col min="1" max="1" width="22.28515625" customWidth="1"/>
    <col min="2" max="2" width="16.5703125" customWidth="1"/>
    <col min="3" max="3" width="17.7109375" customWidth="1"/>
    <col min="4" max="5" width="18" customWidth="1"/>
    <col min="6" max="6" width="18.140625" customWidth="1"/>
    <col min="7" max="7" width="16.28515625" customWidth="1"/>
    <col min="8" max="13" width="16" customWidth="1"/>
  </cols>
  <sheetData>
    <row r="1" spans="1:5" ht="12.75" customHeight="1" x14ac:dyDescent="0.2">
      <c r="A1" s="270" t="str">
        <f>Inputs!E7</f>
        <v>ModelSheet Software</v>
      </c>
      <c r="B1" s="270"/>
      <c r="C1" s="270"/>
      <c r="D1" s="270"/>
    </row>
    <row r="2" spans="1:5" ht="12.75" customHeight="1" x14ac:dyDescent="0.2">
      <c r="A2" s="270" t="str">
        <f>Inputs!E9</f>
        <v>Project Test</v>
      </c>
      <c r="B2" s="270"/>
      <c r="C2" s="270"/>
      <c r="D2" s="270"/>
    </row>
    <row r="3" spans="1:5" ht="12.75" customHeight="1" x14ac:dyDescent="0.2">
      <c r="A3" s="270" t="str">
        <f>"Investment"</f>
        <v>Investment</v>
      </c>
      <c r="B3" s="270"/>
      <c r="C3" s="270"/>
      <c r="D3" s="270"/>
    </row>
    <row r="4" spans="1:5" ht="12.75" customHeight="1" x14ac:dyDescent="0.2">
      <c r="A4" s="270" t="str">
        <f>" "</f>
        <v xml:space="preserve"> </v>
      </c>
      <c r="B4" s="270"/>
      <c r="C4" s="270"/>
      <c r="D4" s="270"/>
    </row>
    <row r="5" spans="1:5" ht="12.75" customHeight="1" x14ac:dyDescent="0.2">
      <c r="A5" s="271" t="str">
        <f>"Investment Summary"</f>
        <v>Investment Summary</v>
      </c>
      <c r="B5" s="271"/>
    </row>
    <row r="6" spans="1:5" ht="12.75" customHeight="1" x14ac:dyDescent="0.2">
      <c r="A6" s="271" t="str">
        <f>""</f>
        <v/>
      </c>
      <c r="B6" s="271"/>
    </row>
    <row r="7" spans="1:5" ht="12.75" customHeight="1" x14ac:dyDescent="0.2">
      <c r="A7" s="1" t="str">
        <f>" "</f>
        <v xml:space="preserve"> </v>
      </c>
    </row>
    <row r="8" spans="1:5" ht="12.75" customHeight="1" x14ac:dyDescent="0.2">
      <c r="B8" s="17" t="str">
        <f>Labels!B166</f>
        <v>Depreciable</v>
      </c>
      <c r="C8" s="18" t="str">
        <f>Labels!B167</f>
        <v>Non-Deprec</v>
      </c>
      <c r="D8" s="62" t="str">
        <f>Labels!C165</f>
        <v>Total</v>
      </c>
    </row>
    <row r="9" spans="1:5" ht="12.75" customHeight="1" x14ac:dyDescent="0.2">
      <c r="A9" s="12" t="str">
        <f>Labels!B67</f>
        <v>Fixed Investment</v>
      </c>
      <c r="B9" s="107">
        <f>SUM(C24,C28)</f>
        <v>0</v>
      </c>
      <c r="C9" s="107">
        <f>SUM(D24,D28)</f>
        <v>0</v>
      </c>
      <c r="D9" s="108">
        <f>SUM(E24,E28)</f>
        <v>0</v>
      </c>
    </row>
    <row r="11" spans="1:5" ht="12.75" customHeight="1" x14ac:dyDescent="0.2">
      <c r="B11" s="17" t="str">
        <f>Labels!B76</f>
        <v>Invest Tax Credit</v>
      </c>
      <c r="C11" s="18" t="str">
        <f>Labels!B68</f>
        <v>Net Fixed Invest</v>
      </c>
      <c r="D11" s="18" t="str">
        <f>Labels!B127</f>
        <v>Initial Working Cap</v>
      </c>
      <c r="E11" s="19" t="str">
        <f>Labels!B70</f>
        <v>Gross Investment</v>
      </c>
    </row>
    <row r="12" spans="1:5" ht="12.75" customHeight="1" x14ac:dyDescent="0.2">
      <c r="A12" s="12"/>
      <c r="B12" s="107">
        <f>SUM(C38,C42)</f>
        <v>0</v>
      </c>
      <c r="C12" s="107">
        <f>SUM(D38,D42)</f>
        <v>0</v>
      </c>
      <c r="D12" s="107">
        <f>SUM(E36,E40)</f>
        <v>0</v>
      </c>
      <c r="E12" s="109">
        <f>SUM(F36,F40)</f>
        <v>0</v>
      </c>
    </row>
    <row r="14" spans="1:5" ht="12.75" customHeight="1" x14ac:dyDescent="0.2">
      <c r="A14" s="12" t="str">
        <f>Labels!B128</f>
        <v>Max Working Capital</v>
      </c>
      <c r="B14" s="108">
        <f>MAX(B78,D78:G78,I78:L78)</f>
        <v>0</v>
      </c>
    </row>
    <row r="18" spans="1:5" ht="12.75" customHeight="1" x14ac:dyDescent="0.2">
      <c r="A18" s="271" t="str">
        <f>"Investment by Sub-Project"</f>
        <v>Investment by Sub-Project</v>
      </c>
      <c r="B18" s="271"/>
    </row>
    <row r="19" spans="1:5" ht="12.75" hidden="1" customHeight="1" outlineLevel="1" x14ac:dyDescent="0.2">
      <c r="A19" s="1" t="str">
        <f>" "</f>
        <v xml:space="preserve"> </v>
      </c>
      <c r="C19" s="17" t="str">
        <f>Labels!B166</f>
        <v>Depreciable</v>
      </c>
      <c r="D19" s="18" t="str">
        <f>Labels!B167</f>
        <v>Non-Deprec</v>
      </c>
      <c r="E19" s="62" t="str">
        <f>Labels!C165</f>
        <v>Total</v>
      </c>
    </row>
    <row r="20" spans="1:5" ht="12.75" hidden="1" customHeight="1" outlineLevel="1" x14ac:dyDescent="0.2">
      <c r="B20" s="62" t="str">
        <f>Labels!B75</f>
        <v>Name</v>
      </c>
      <c r="C20" s="110"/>
      <c r="D20" s="110"/>
      <c r="E20" s="75"/>
    </row>
    <row r="21" spans="1:5" ht="12.75" hidden="1" customHeight="1" outlineLevel="1" x14ac:dyDescent="0.2">
      <c r="A21" s="111" t="str">
        <f>Labels!B182</f>
        <v>Catamarans</v>
      </c>
      <c r="B21" s="112"/>
      <c r="C21" s="113"/>
      <c r="D21" s="113"/>
      <c r="E21" s="69"/>
    </row>
    <row r="22" spans="1:5" ht="12.75" hidden="1" customHeight="1" outlineLevel="1" x14ac:dyDescent="0.2">
      <c r="A22" s="114" t="str">
        <f>"   "&amp;Labels!B170</f>
        <v xml:space="preserve">   Invest 1</v>
      </c>
      <c r="B22" s="115" t="str">
        <f>Inputs!E17</f>
        <v>Catamarans Inv 1</v>
      </c>
      <c r="C22" s="116">
        <f>Inputs!E24</f>
        <v>0</v>
      </c>
      <c r="D22" s="116">
        <f>Inputs!E28</f>
        <v>0</v>
      </c>
      <c r="E22" s="69">
        <f>SUM(C22:D22)</f>
        <v>0</v>
      </c>
    </row>
    <row r="23" spans="1:5" ht="12.75" hidden="1" customHeight="1" outlineLevel="1" x14ac:dyDescent="0.2">
      <c r="A23" s="114" t="str">
        <f>"   "&amp;Labels!B171</f>
        <v xml:space="preserve">   Invest 2</v>
      </c>
      <c r="B23" s="115" t="str">
        <f>Inputs!E18</f>
        <v>Catamarans Inv 2</v>
      </c>
      <c r="C23" s="116">
        <f>Inputs!E25</f>
        <v>0</v>
      </c>
      <c r="D23" s="116">
        <f>Inputs!E29</f>
        <v>0</v>
      </c>
      <c r="E23" s="69">
        <f>SUM(C23:D23)</f>
        <v>0</v>
      </c>
    </row>
    <row r="24" spans="1:5" ht="12.75" hidden="1" customHeight="1" outlineLevel="1" x14ac:dyDescent="0.2">
      <c r="A24" s="117" t="str">
        <f>"   "&amp;Labels!C169</f>
        <v xml:space="preserve">   Total</v>
      </c>
      <c r="B24" s="118" t="str">
        <f>" "</f>
        <v xml:space="preserve"> </v>
      </c>
      <c r="C24" s="113">
        <f>SUM(C22:C23)</f>
        <v>0</v>
      </c>
      <c r="D24" s="113">
        <f>SUM(D22:D23)</f>
        <v>0</v>
      </c>
      <c r="E24" s="69">
        <f>SUM(C24:D24)</f>
        <v>0</v>
      </c>
    </row>
    <row r="25" spans="1:5" ht="12.75" hidden="1" customHeight="1" outlineLevel="1" x14ac:dyDescent="0.2">
      <c r="A25" s="117" t="str">
        <f>Labels!B183</f>
        <v>Canoes</v>
      </c>
      <c r="B25" s="118"/>
      <c r="C25" s="113"/>
      <c r="D25" s="113"/>
      <c r="E25" s="69"/>
    </row>
    <row r="26" spans="1:5" ht="12.75" hidden="1" customHeight="1" outlineLevel="1" x14ac:dyDescent="0.2">
      <c r="A26" s="114" t="str">
        <f>"   "&amp;Labels!B170</f>
        <v xml:space="preserve">   Invest 1</v>
      </c>
      <c r="B26" s="115" t="str">
        <f>Inputs!E19</f>
        <v>Canoes Inv 1</v>
      </c>
      <c r="C26" s="116">
        <f>Inputs!E26</f>
        <v>0</v>
      </c>
      <c r="D26" s="116">
        <f>Inputs!E30</f>
        <v>0</v>
      </c>
      <c r="E26" s="69">
        <f>SUM(C26:D26)</f>
        <v>0</v>
      </c>
    </row>
    <row r="27" spans="1:5" ht="12.75" hidden="1" customHeight="1" outlineLevel="1" x14ac:dyDescent="0.2">
      <c r="A27" s="114" t="str">
        <f>"   "&amp;Labels!B171</f>
        <v xml:space="preserve">   Invest 2</v>
      </c>
      <c r="B27" s="115" t="str">
        <f>Inputs!E20</f>
        <v>Canoes Inv 2</v>
      </c>
      <c r="C27" s="116">
        <f>Inputs!E27</f>
        <v>0</v>
      </c>
      <c r="D27" s="116">
        <f>Inputs!E31</f>
        <v>0</v>
      </c>
      <c r="E27" s="69">
        <f>SUM(C27:D27)</f>
        <v>0</v>
      </c>
    </row>
    <row r="28" spans="1:5" ht="12.75" hidden="1" customHeight="1" outlineLevel="1" x14ac:dyDescent="0.2">
      <c r="A28" s="117" t="str">
        <f>"   "&amp;Labels!C169</f>
        <v xml:space="preserve">   Total</v>
      </c>
      <c r="B28" s="118" t="str">
        <f>" "</f>
        <v xml:space="preserve"> </v>
      </c>
      <c r="C28" s="113">
        <f>SUM(C26:C27)</f>
        <v>0</v>
      </c>
      <c r="D28" s="113">
        <f>SUM(D26:D27)</f>
        <v>0</v>
      </c>
      <c r="E28" s="69">
        <f>SUM(C28:D28)</f>
        <v>0</v>
      </c>
    </row>
    <row r="29" spans="1:5" ht="12.75" hidden="1" customHeight="1" outlineLevel="1" x14ac:dyDescent="0.2">
      <c r="A29" s="12" t="str">
        <f>Labels!C181</f>
        <v>Total</v>
      </c>
      <c r="B29" s="119" t="str">
        <f>" "</f>
        <v xml:space="preserve"> </v>
      </c>
      <c r="C29" s="120">
        <f>SUM(C24,C28)</f>
        <v>0</v>
      </c>
      <c r="D29" s="120">
        <f>SUM(D24,D28)</f>
        <v>0</v>
      </c>
      <c r="E29" s="69">
        <f>SUM(E24,E28)</f>
        <v>0</v>
      </c>
    </row>
    <row r="30" spans="1:5" ht="12.75" hidden="1" customHeight="1" outlineLevel="1" x14ac:dyDescent="0.2">
      <c r="A30" s="114" t="str">
        <f>"   "&amp;Labels!B170</f>
        <v xml:space="preserve">   Invest 1</v>
      </c>
      <c r="B30" s="115" t="str">
        <f>" "</f>
        <v xml:space="preserve"> </v>
      </c>
      <c r="C30" s="116">
        <f t="shared" ref="C30:E32" si="0">SUM(C22,C26)</f>
        <v>0</v>
      </c>
      <c r="D30" s="116">
        <f t="shared" si="0"/>
        <v>0</v>
      </c>
      <c r="E30" s="69">
        <f t="shared" si="0"/>
        <v>0</v>
      </c>
    </row>
    <row r="31" spans="1:5" ht="12.75" hidden="1" customHeight="1" outlineLevel="1" x14ac:dyDescent="0.2">
      <c r="A31" s="114" t="str">
        <f>"   "&amp;Labels!B171</f>
        <v xml:space="preserve">   Invest 2</v>
      </c>
      <c r="B31" s="115" t="str">
        <f>" "</f>
        <v xml:space="preserve"> </v>
      </c>
      <c r="C31" s="116">
        <f t="shared" si="0"/>
        <v>0</v>
      </c>
      <c r="D31" s="116">
        <f t="shared" si="0"/>
        <v>0</v>
      </c>
      <c r="E31" s="69">
        <f t="shared" si="0"/>
        <v>0</v>
      </c>
    </row>
    <row r="32" spans="1:5" ht="12.75" hidden="1" customHeight="1" outlineLevel="1" x14ac:dyDescent="0.2">
      <c r="A32" s="121" t="str">
        <f>"   "&amp;Labels!C169</f>
        <v xml:space="preserve">   Total</v>
      </c>
      <c r="B32" s="122" t="str">
        <f>" "</f>
        <v xml:space="preserve"> </v>
      </c>
      <c r="C32" s="123">
        <f t="shared" si="0"/>
        <v>0</v>
      </c>
      <c r="D32" s="123">
        <f t="shared" si="0"/>
        <v>0</v>
      </c>
      <c r="E32" s="70">
        <f t="shared" si="0"/>
        <v>0</v>
      </c>
    </row>
    <row r="33" spans="1:6" ht="12.75" hidden="1" customHeight="1" outlineLevel="1" x14ac:dyDescent="0.2"/>
    <row r="34" spans="1:6" ht="12.75" hidden="1" customHeight="1" outlineLevel="1" x14ac:dyDescent="0.2">
      <c r="B34" s="17" t="str">
        <f>Labels!B75</f>
        <v>Name</v>
      </c>
      <c r="C34" s="18" t="str">
        <f>Labels!B76</f>
        <v>Invest Tax Credit</v>
      </c>
      <c r="D34" s="18" t="str">
        <f>Labels!B68</f>
        <v>Net Fixed Invest</v>
      </c>
      <c r="E34" s="18" t="str">
        <f>Labels!B127</f>
        <v>Initial Working Cap</v>
      </c>
      <c r="F34" s="19" t="str">
        <f>Labels!B70</f>
        <v>Gross Investment</v>
      </c>
    </row>
    <row r="35" spans="1:6" ht="12.75" hidden="1" customHeight="1" outlineLevel="1" x14ac:dyDescent="0.2">
      <c r="A35" s="111" t="str">
        <f>Labels!B182</f>
        <v>Catamarans</v>
      </c>
      <c r="B35" s="124"/>
      <c r="C35" s="110"/>
      <c r="D35" s="110"/>
      <c r="E35" s="110"/>
      <c r="F35" s="125"/>
    </row>
    <row r="36" spans="1:6" ht="12.75" hidden="1" customHeight="1" outlineLevel="1" x14ac:dyDescent="0.2">
      <c r="A36" s="114" t="str">
        <f>"   "&amp;Labels!B170</f>
        <v xml:space="preserve">   Invest 1</v>
      </c>
      <c r="B36" s="126" t="str">
        <f>Inputs!E17</f>
        <v>Catamarans Inv 1</v>
      </c>
      <c r="C36" s="113">
        <f>Inputs!K17*(1-D90)*C22</f>
        <v>0</v>
      </c>
      <c r="D36" s="113">
        <f>E22-C36</f>
        <v>0</v>
      </c>
      <c r="E36" s="113">
        <f>SUM(Inputs!E37:F37)</f>
        <v>0</v>
      </c>
      <c r="F36" s="127">
        <f>E24+E36</f>
        <v>0</v>
      </c>
    </row>
    <row r="37" spans="1:6" ht="12.75" hidden="1" customHeight="1" outlineLevel="1" x14ac:dyDescent="0.2">
      <c r="A37" s="114" t="str">
        <f>"   "&amp;Labels!B171</f>
        <v xml:space="preserve">   Invest 2</v>
      </c>
      <c r="B37" s="126" t="str">
        <f>Inputs!E18</f>
        <v>Catamarans Inv 2</v>
      </c>
      <c r="C37" s="113">
        <f>Inputs!K18*(1-D91)*C23</f>
        <v>0</v>
      </c>
      <c r="D37" s="113">
        <f>E23-C37</f>
        <v>0</v>
      </c>
      <c r="E37" s="113">
        <f>SUM(Inputs!E37:F37)</f>
        <v>0</v>
      </c>
      <c r="F37" s="127">
        <f>F36</f>
        <v>0</v>
      </c>
    </row>
    <row r="38" spans="1:6" ht="12.75" hidden="1" customHeight="1" outlineLevel="1" x14ac:dyDescent="0.2">
      <c r="A38" s="117" t="str">
        <f>"   "&amp;Labels!C169</f>
        <v xml:space="preserve">   Total</v>
      </c>
      <c r="B38" s="128" t="str">
        <f>" "</f>
        <v xml:space="preserve"> </v>
      </c>
      <c r="C38" s="120">
        <f>SUM(C36:C37)</f>
        <v>0</v>
      </c>
      <c r="D38" s="120">
        <f>SUM(D36:D37)</f>
        <v>0</v>
      </c>
      <c r="E38" s="120">
        <f>SUM(Inputs!E37:F37)</f>
        <v>0</v>
      </c>
      <c r="F38" s="129">
        <f>F36</f>
        <v>0</v>
      </c>
    </row>
    <row r="39" spans="1:6" ht="12.75" hidden="1" customHeight="1" outlineLevel="1" x14ac:dyDescent="0.2">
      <c r="A39" s="117" t="str">
        <f>Labels!B183</f>
        <v>Canoes</v>
      </c>
      <c r="B39" s="128"/>
      <c r="C39" s="120"/>
      <c r="D39" s="120"/>
      <c r="E39" s="120"/>
      <c r="F39" s="129"/>
    </row>
    <row r="40" spans="1:6" ht="12.75" hidden="1" customHeight="1" outlineLevel="1" x14ac:dyDescent="0.2">
      <c r="A40" s="114" t="str">
        <f>"   "&amp;Labels!B170</f>
        <v xml:space="preserve">   Invest 1</v>
      </c>
      <c r="B40" s="126" t="str">
        <f>Inputs!E19</f>
        <v>Canoes Inv 1</v>
      </c>
      <c r="C40" s="113">
        <f>Inputs!K19*(1-D94)*C26</f>
        <v>0</v>
      </c>
      <c r="D40" s="113">
        <f>E26-C40</f>
        <v>0</v>
      </c>
      <c r="E40" s="113">
        <f>SUM(Inputs!E38:F38)</f>
        <v>0</v>
      </c>
      <c r="F40" s="127">
        <f>E28+E40</f>
        <v>0</v>
      </c>
    </row>
    <row r="41" spans="1:6" ht="12.75" hidden="1" customHeight="1" outlineLevel="1" x14ac:dyDescent="0.2">
      <c r="A41" s="114" t="str">
        <f>"   "&amp;Labels!B171</f>
        <v xml:space="preserve">   Invest 2</v>
      </c>
      <c r="B41" s="126" t="str">
        <f>Inputs!E20</f>
        <v>Canoes Inv 2</v>
      </c>
      <c r="C41" s="113">
        <f>Inputs!K20*(1-D95)*C27</f>
        <v>0</v>
      </c>
      <c r="D41" s="113">
        <f>E27-C41</f>
        <v>0</v>
      </c>
      <c r="E41" s="113">
        <f>SUM(Inputs!E38:F38)</f>
        <v>0</v>
      </c>
      <c r="F41" s="127">
        <f>F40</f>
        <v>0</v>
      </c>
    </row>
    <row r="42" spans="1:6" ht="12.75" hidden="1" customHeight="1" outlineLevel="1" x14ac:dyDescent="0.2">
      <c r="A42" s="117" t="str">
        <f>"   "&amp;Labels!C169</f>
        <v xml:space="preserve">   Total</v>
      </c>
      <c r="B42" s="128" t="str">
        <f>" "</f>
        <v xml:space="preserve"> </v>
      </c>
      <c r="C42" s="120">
        <f>SUM(C40:C41)</f>
        <v>0</v>
      </c>
      <c r="D42" s="120">
        <f>SUM(D40:D41)</f>
        <v>0</v>
      </c>
      <c r="E42" s="120">
        <f>SUM(Inputs!E38:F38)</f>
        <v>0</v>
      </c>
      <c r="F42" s="129">
        <f>F40</f>
        <v>0</v>
      </c>
    </row>
    <row r="43" spans="1:6" ht="12.75" hidden="1" customHeight="1" outlineLevel="1" x14ac:dyDescent="0.2">
      <c r="A43" s="12" t="str">
        <f>Labels!C181</f>
        <v>Total</v>
      </c>
      <c r="B43" s="130" t="str">
        <f>" "</f>
        <v xml:space="preserve"> </v>
      </c>
      <c r="C43" s="107">
        <f>SUM(C38,C42)</f>
        <v>0</v>
      </c>
      <c r="D43" s="107">
        <f>SUM(D38,D42)</f>
        <v>0</v>
      </c>
      <c r="E43" s="107">
        <f>SUM(E36,E40)</f>
        <v>0</v>
      </c>
      <c r="F43" s="109">
        <f>SUM(F36,F40)</f>
        <v>0</v>
      </c>
    </row>
    <row r="44" spans="1:6" ht="12.75" hidden="1" customHeight="1" outlineLevel="1" x14ac:dyDescent="0.2">
      <c r="A44" s="114" t="str">
        <f>"   "&amp;Labels!B170</f>
        <v xml:space="preserve">   Invest 1</v>
      </c>
      <c r="B44" s="126" t="str">
        <f>" "</f>
        <v xml:space="preserve"> </v>
      </c>
      <c r="C44" s="113">
        <f>SUM(C36,C40)</f>
        <v>0</v>
      </c>
      <c r="D44" s="113">
        <f>SUM(D36,D40)</f>
        <v>0</v>
      </c>
      <c r="E44" s="113">
        <f>SUM(E36,E40)</f>
        <v>0</v>
      </c>
      <c r="F44" s="127">
        <f>SUM(F36,F40)</f>
        <v>0</v>
      </c>
    </row>
    <row r="45" spans="1:6" ht="12.75" hidden="1" customHeight="1" outlineLevel="1" x14ac:dyDescent="0.2">
      <c r="A45" s="114" t="str">
        <f>"   "&amp;Labels!B171</f>
        <v xml:space="preserve">   Invest 2</v>
      </c>
      <c r="B45" s="126" t="str">
        <f>" "</f>
        <v xml:space="preserve"> </v>
      </c>
      <c r="C45" s="113">
        <f>SUM(C37,C41)</f>
        <v>0</v>
      </c>
      <c r="D45" s="113">
        <f>SUM(D37,D41)</f>
        <v>0</v>
      </c>
      <c r="E45" s="113">
        <f>SUM(E36,E40)</f>
        <v>0</v>
      </c>
      <c r="F45" s="127">
        <f>SUM(F36,F40)</f>
        <v>0</v>
      </c>
    </row>
    <row r="46" spans="1:6" ht="12.75" hidden="1" customHeight="1" outlineLevel="1" x14ac:dyDescent="0.2">
      <c r="A46" s="121" t="str">
        <f>"   "&amp;Labels!C169</f>
        <v xml:space="preserve">   Total</v>
      </c>
      <c r="B46" s="131" t="str">
        <f>" "</f>
        <v xml:space="preserve"> </v>
      </c>
      <c r="C46" s="132">
        <f>SUM(C38,C42)</f>
        <v>0</v>
      </c>
      <c r="D46" s="132">
        <f>SUM(D38,D42)</f>
        <v>0</v>
      </c>
      <c r="E46" s="132">
        <f>SUM(E36,E40)</f>
        <v>0</v>
      </c>
      <c r="F46" s="133">
        <f>SUM(F36,F40)</f>
        <v>0</v>
      </c>
    </row>
    <row r="47" spans="1:6" ht="12.75" hidden="1" customHeight="1" outlineLevel="1" x14ac:dyDescent="0.2"/>
    <row r="48" spans="1:6" ht="12.75" hidden="1" customHeight="1" outlineLevel="1" x14ac:dyDescent="0.2">
      <c r="A48" s="1" t="str">
        <f>""</f>
        <v/>
      </c>
    </row>
    <row r="49" spans="1:8" ht="12.75" hidden="1" customHeight="1" outlineLevel="1" x14ac:dyDescent="0.2">
      <c r="A49" s="272" t="str">
        <f>"Depreciation"</f>
        <v>Depreciation</v>
      </c>
      <c r="B49" s="272"/>
    </row>
    <row r="50" spans="1:8" ht="12.75" hidden="1" customHeight="1" outlineLevel="1" x14ac:dyDescent="0.2">
      <c r="B50" s="17" t="str">
        <f>Labels!B75</f>
        <v>Name</v>
      </c>
      <c r="C50" s="18" t="str">
        <f>Labels!B65</f>
        <v>Investment Date</v>
      </c>
      <c r="D50" s="18" t="str">
        <f>Labels!B72</f>
        <v>Deprec Life (Yr)</v>
      </c>
      <c r="E50" s="18" t="str">
        <f>Labels!B37</f>
        <v>Deprec Method</v>
      </c>
      <c r="F50" s="18" t="str">
        <f>Labels!B38</f>
        <v>Tax Deprec Method</v>
      </c>
      <c r="G50" s="18" t="str">
        <f>Labels!B74</f>
        <v>Physical Life (Yr)</v>
      </c>
      <c r="H50" s="19" t="str">
        <f>Labels!B69</f>
        <v>Residual Value</v>
      </c>
    </row>
    <row r="51" spans="1:8" ht="12.75" hidden="1" customHeight="1" outlineLevel="1" x14ac:dyDescent="0.2">
      <c r="A51" s="111" t="str">
        <f>Labels!B182</f>
        <v>Catamarans</v>
      </c>
      <c r="B51" s="124"/>
      <c r="C51" s="134"/>
      <c r="D51" s="135"/>
      <c r="E51" s="124"/>
      <c r="F51" s="124"/>
      <c r="G51" s="135"/>
      <c r="H51" s="125"/>
    </row>
    <row r="52" spans="1:8" ht="12.75" hidden="1" customHeight="1" outlineLevel="1" x14ac:dyDescent="0.2">
      <c r="A52" s="114" t="str">
        <f>"   "&amp;Labels!B170</f>
        <v xml:space="preserve">   Invest 1</v>
      </c>
      <c r="B52" s="126" t="str">
        <f>Inputs!E17</f>
        <v>Catamarans Inv 1</v>
      </c>
      <c r="C52" s="136">
        <f>Inputs!F17</f>
        <v>40543</v>
      </c>
      <c r="D52" s="137">
        <f>Inputs!I17</f>
        <v>3</v>
      </c>
      <c r="E52" s="126" t="str">
        <f>Inputs!G17</f>
        <v>Linear</v>
      </c>
      <c r="F52" s="126" t="str">
        <f>Inputs!H17</f>
        <v>Linear</v>
      </c>
      <c r="G52" s="137">
        <f>Inputs!J17</f>
        <v>8</v>
      </c>
      <c r="H52" s="127">
        <f>SUM(Inputs!F24,Inputs!F28)</f>
        <v>0</v>
      </c>
    </row>
    <row r="53" spans="1:8" ht="12.75" hidden="1" customHeight="1" outlineLevel="1" x14ac:dyDescent="0.2">
      <c r="A53" s="114" t="str">
        <f>"   "&amp;Labels!B171</f>
        <v xml:space="preserve">   Invest 2</v>
      </c>
      <c r="B53" s="126" t="str">
        <f>Inputs!E18</f>
        <v>Catamarans Inv 2</v>
      </c>
      <c r="C53" s="136">
        <f>Inputs!F18</f>
        <v>40543</v>
      </c>
      <c r="D53" s="137">
        <f>Inputs!I18</f>
        <v>3</v>
      </c>
      <c r="E53" s="126" t="str">
        <f>Inputs!G18</f>
        <v>Linear</v>
      </c>
      <c r="F53" s="126" t="str">
        <f>Inputs!H18</f>
        <v>Linear</v>
      </c>
      <c r="G53" s="137">
        <f>Inputs!J18</f>
        <v>8</v>
      </c>
      <c r="H53" s="127">
        <f>SUM(Inputs!F25,Inputs!F29)</f>
        <v>0</v>
      </c>
    </row>
    <row r="54" spans="1:8" ht="12.75" hidden="1" customHeight="1" outlineLevel="1" x14ac:dyDescent="0.2">
      <c r="A54" s="117" t="str">
        <f>"   "&amp;Labels!C169</f>
        <v xml:space="preserve">   Total</v>
      </c>
      <c r="B54" s="128" t="str">
        <f>" "</f>
        <v xml:space="preserve"> </v>
      </c>
      <c r="C54" s="138"/>
      <c r="D54" s="139">
        <f>AVERAGE(D52:D53)</f>
        <v>3</v>
      </c>
      <c r="E54" s="128"/>
      <c r="F54" s="128"/>
      <c r="G54" s="139">
        <f>AVERAGE(G52:G53)</f>
        <v>8</v>
      </c>
      <c r="H54" s="129">
        <f>SUM(H52:H53)</f>
        <v>0</v>
      </c>
    </row>
    <row r="55" spans="1:8" ht="12.75" hidden="1" customHeight="1" outlineLevel="1" x14ac:dyDescent="0.2">
      <c r="A55" s="117" t="str">
        <f>Labels!B183</f>
        <v>Canoes</v>
      </c>
      <c r="B55" s="128"/>
      <c r="C55" s="138"/>
      <c r="D55" s="139"/>
      <c r="E55" s="128"/>
      <c r="F55" s="128"/>
      <c r="G55" s="139"/>
      <c r="H55" s="129"/>
    </row>
    <row r="56" spans="1:8" ht="12.75" hidden="1" customHeight="1" outlineLevel="1" x14ac:dyDescent="0.2">
      <c r="A56" s="114" t="str">
        <f>"   "&amp;Labels!B170</f>
        <v xml:space="preserve">   Invest 1</v>
      </c>
      <c r="B56" s="126" t="str">
        <f>Inputs!E19</f>
        <v>Canoes Inv 1</v>
      </c>
      <c r="C56" s="136">
        <f>Inputs!F19</f>
        <v>40633</v>
      </c>
      <c r="D56" s="137">
        <f>Inputs!I19</f>
        <v>3</v>
      </c>
      <c r="E56" s="126" t="str">
        <f>Inputs!G19</f>
        <v>Linear</v>
      </c>
      <c r="F56" s="126" t="str">
        <f>Inputs!H19</f>
        <v>Linear</v>
      </c>
      <c r="G56" s="137">
        <f>Inputs!J19</f>
        <v>8</v>
      </c>
      <c r="H56" s="127">
        <f>SUM(Inputs!F26,Inputs!F30)</f>
        <v>0</v>
      </c>
    </row>
    <row r="57" spans="1:8" ht="12.75" hidden="1" customHeight="1" outlineLevel="1" x14ac:dyDescent="0.2">
      <c r="A57" s="114" t="str">
        <f>"   "&amp;Labels!B171</f>
        <v xml:space="preserve">   Invest 2</v>
      </c>
      <c r="B57" s="126" t="str">
        <f>Inputs!E20</f>
        <v>Canoes Inv 2</v>
      </c>
      <c r="C57" s="136">
        <f>Inputs!F20</f>
        <v>40633</v>
      </c>
      <c r="D57" s="137">
        <f>Inputs!I20</f>
        <v>3</v>
      </c>
      <c r="E57" s="126" t="str">
        <f>Inputs!G20</f>
        <v>Linear</v>
      </c>
      <c r="F57" s="126" t="str">
        <f>Inputs!H20</f>
        <v>Linear</v>
      </c>
      <c r="G57" s="137">
        <f>Inputs!J20</f>
        <v>8</v>
      </c>
      <c r="H57" s="127">
        <f>SUM(Inputs!F27,Inputs!F31)</f>
        <v>0</v>
      </c>
    </row>
    <row r="58" spans="1:8" ht="12.75" hidden="1" customHeight="1" outlineLevel="1" x14ac:dyDescent="0.2">
      <c r="A58" s="117" t="str">
        <f>"   "&amp;Labels!C169</f>
        <v xml:space="preserve">   Total</v>
      </c>
      <c r="B58" s="128" t="str">
        <f>" "</f>
        <v xml:space="preserve"> </v>
      </c>
      <c r="C58" s="138"/>
      <c r="D58" s="139">
        <f>AVERAGE(D56:D57)</f>
        <v>3</v>
      </c>
      <c r="E58" s="128"/>
      <c r="F58" s="128"/>
      <c r="G58" s="139">
        <f>AVERAGE(G56:G57)</f>
        <v>8</v>
      </c>
      <c r="H58" s="129">
        <f>SUM(H56:H57)</f>
        <v>0</v>
      </c>
    </row>
    <row r="59" spans="1:8" ht="12.75" hidden="1" customHeight="1" outlineLevel="1" x14ac:dyDescent="0.2">
      <c r="A59" s="12" t="str">
        <f>Labels!C181</f>
        <v>Total</v>
      </c>
      <c r="B59" s="130" t="str">
        <f>" "</f>
        <v xml:space="preserve"> </v>
      </c>
      <c r="C59" s="140"/>
      <c r="D59" s="141">
        <f>AVERAGE(D54,D58)</f>
        <v>3</v>
      </c>
      <c r="E59" s="130"/>
      <c r="F59" s="130"/>
      <c r="G59" s="141">
        <f>AVERAGE(G54,G58)</f>
        <v>8</v>
      </c>
      <c r="H59" s="109">
        <f>SUM(H54,H58)</f>
        <v>0</v>
      </c>
    </row>
    <row r="60" spans="1:8" ht="12.75" hidden="1" customHeight="1" outlineLevel="1" x14ac:dyDescent="0.2">
      <c r="A60" s="114" t="str">
        <f>"   "&amp;Labels!B170</f>
        <v xml:space="preserve">   Invest 1</v>
      </c>
      <c r="B60" s="126" t="str">
        <f>" "</f>
        <v xml:space="preserve"> </v>
      </c>
      <c r="C60" s="136"/>
      <c r="D60" s="137">
        <f>AVERAGE(D52,D56)</f>
        <v>3</v>
      </c>
      <c r="E60" s="126"/>
      <c r="F60" s="126"/>
      <c r="G60" s="137">
        <f>AVERAGE(G52,G56)</f>
        <v>8</v>
      </c>
      <c r="H60" s="127">
        <f>SUM(H52,H56)</f>
        <v>0</v>
      </c>
    </row>
    <row r="61" spans="1:8" ht="12.75" hidden="1" customHeight="1" outlineLevel="1" x14ac:dyDescent="0.2">
      <c r="A61" s="114" t="str">
        <f>"   "&amp;Labels!B171</f>
        <v xml:space="preserve">   Invest 2</v>
      </c>
      <c r="B61" s="126" t="str">
        <f>" "</f>
        <v xml:space="preserve"> </v>
      </c>
      <c r="C61" s="136"/>
      <c r="D61" s="137">
        <f>AVERAGE(D53,D57)</f>
        <v>3</v>
      </c>
      <c r="E61" s="126"/>
      <c r="F61" s="126"/>
      <c r="G61" s="137">
        <f>AVERAGE(G53,G57)</f>
        <v>8</v>
      </c>
      <c r="H61" s="127">
        <f>SUM(H53,H57)</f>
        <v>0</v>
      </c>
    </row>
    <row r="62" spans="1:8" ht="12.75" hidden="1" customHeight="1" outlineLevel="1" x14ac:dyDescent="0.2">
      <c r="A62" s="121" t="str">
        <f>"   "&amp;Labels!C169</f>
        <v xml:space="preserve">   Total</v>
      </c>
      <c r="B62" s="131" t="str">
        <f>" "</f>
        <v xml:space="preserve"> </v>
      </c>
      <c r="C62" s="142"/>
      <c r="D62" s="143">
        <f>AVERAGE(D54,D58)</f>
        <v>3</v>
      </c>
      <c r="E62" s="131"/>
      <c r="F62" s="131"/>
      <c r="G62" s="143">
        <f>AVERAGE(G54,G58)</f>
        <v>8</v>
      </c>
      <c r="H62" s="133">
        <f>SUM(H54,H58)</f>
        <v>0</v>
      </c>
    </row>
    <row r="63" spans="1:8" ht="12.75" hidden="1" customHeight="1" outlineLevel="1" x14ac:dyDescent="0.2"/>
    <row r="64" spans="1:8" ht="12.75" hidden="1" customHeight="1" outlineLevel="1" collapsed="1" x14ac:dyDescent="0.2"/>
    <row r="65" spans="1:13" ht="12.75" customHeight="1" collapsed="1" x14ac:dyDescent="0.2"/>
    <row r="66" spans="1:13" ht="12.75" customHeight="1" x14ac:dyDescent="0.2">
      <c r="A66" s="271" t="str">
        <f>"Working Capital"</f>
        <v>Working Capital</v>
      </c>
      <c r="B66" s="271"/>
    </row>
    <row r="67" spans="1:13" ht="12.75" hidden="1" customHeight="1" outlineLevel="1" x14ac:dyDescent="0.2">
      <c r="A67" s="271" t="str">
        <f>""</f>
        <v/>
      </c>
      <c r="B67" s="271"/>
    </row>
    <row r="68" spans="1:13" ht="12.75" hidden="1" customHeight="1" outlineLevel="1" x14ac:dyDescent="0.2">
      <c r="B68" s="17" t="str">
        <f>'(FnCalls 1)'!G6</f>
        <v>Q4 2010</v>
      </c>
      <c r="C68" s="62" t="str">
        <f>'(FnCalls 1)'!H4</f>
        <v>2010</v>
      </c>
      <c r="D68" s="18" t="str">
        <f>'(FnCalls 1)'!G7</f>
        <v>Q1 2011</v>
      </c>
      <c r="E68" s="18" t="str">
        <f>'(FnCalls 1)'!G8</f>
        <v>Q2 2011</v>
      </c>
      <c r="F68" s="18" t="str">
        <f>'(FnCalls 1)'!G9</f>
        <v>Q3 2011</v>
      </c>
      <c r="G68" s="18" t="str">
        <f>'(FnCalls 1)'!G10</f>
        <v>Q4 2011</v>
      </c>
      <c r="H68" s="62" t="str">
        <f>'(FnCalls 1)'!H7</f>
        <v>2011</v>
      </c>
      <c r="I68" s="18" t="str">
        <f>'(FnCalls 1)'!G11</f>
        <v>Q1 2012</v>
      </c>
      <c r="J68" s="18" t="str">
        <f>'(FnCalls 1)'!G12</f>
        <v>Q2 2012</v>
      </c>
      <c r="K68" s="18" t="str">
        <f>'(FnCalls 1)'!G13</f>
        <v>Q3 2012</v>
      </c>
      <c r="L68" s="18" t="str">
        <f>'(FnCalls 1)'!G14</f>
        <v>Q4 2012</v>
      </c>
      <c r="M68" s="62" t="str">
        <f>'(FnCalls 1)'!H11</f>
        <v>2012</v>
      </c>
    </row>
    <row r="69" spans="1:13" ht="12.75" hidden="1" customHeight="1" outlineLevel="1" x14ac:dyDescent="0.2">
      <c r="A69" s="111" t="str">
        <f>Labels!B131</f>
        <v>Working Capital</v>
      </c>
      <c r="B69" s="110"/>
      <c r="C69" s="75"/>
      <c r="D69" s="110"/>
      <c r="E69" s="110"/>
      <c r="F69" s="110"/>
      <c r="G69" s="110"/>
      <c r="H69" s="75"/>
      <c r="I69" s="110"/>
      <c r="J69" s="110"/>
      <c r="K69" s="110"/>
      <c r="L69" s="110"/>
      <c r="M69" s="75"/>
    </row>
    <row r="70" spans="1:13" ht="12.75" hidden="1" customHeight="1" outlineLevel="1" x14ac:dyDescent="0.2">
      <c r="A70" s="114" t="str">
        <f>"   "&amp;Labels!B182</f>
        <v xml:space="preserve">   Catamarans</v>
      </c>
      <c r="B70" s="113"/>
      <c r="C70" s="69"/>
      <c r="D70" s="113"/>
      <c r="E70" s="113"/>
      <c r="F70" s="113"/>
      <c r="G70" s="113"/>
      <c r="H70" s="69"/>
      <c r="I70" s="113"/>
      <c r="J70" s="113"/>
      <c r="K70" s="113"/>
      <c r="L70" s="113"/>
      <c r="M70" s="69"/>
    </row>
    <row r="71" spans="1:13" ht="12.75" hidden="1" customHeight="1" outlineLevel="1" x14ac:dyDescent="0.2">
      <c r="A71" s="144" t="str">
        <f>"      "&amp;Labels!B190</f>
        <v xml:space="preserve">      Receivables</v>
      </c>
      <c r="B71" s="116">
        <f>IF('(FnCalls 1)'!A7-1-'(Tables)'!B166&lt;0,0,IF(OR('(FnCalls 1)'!A6-'(FnCalls 1)'!A7=0,'(FnCalls 1)'!A6-1-'(Tables)'!B166&lt;0),Inputs!E37,'(Compute)'!B40))</f>
        <v>0</v>
      </c>
      <c r="C71" s="69">
        <f>B71</f>
        <v>0</v>
      </c>
      <c r="D71" s="116">
        <f>IF('(FnCalls 1)'!A8-1-'(Tables)'!B166&lt;0,0,IF(OR('(FnCalls 1)'!A7-'(FnCalls 1)'!A7=0,'(FnCalls 1)'!A7-1-'(Tables)'!B166&lt;0),Inputs!E37,'(Compute)'!D40))</f>
        <v>0</v>
      </c>
      <c r="E71" s="116">
        <f>IF('(FnCalls 1)'!A9-1-'(Tables)'!B166&lt;0,0,IF(OR('(FnCalls 1)'!A8-'(FnCalls 1)'!A7=0,'(FnCalls 1)'!A8-1-'(Tables)'!B166&lt;0),Inputs!E37,'(Compute)'!E40))</f>
        <v>0</v>
      </c>
      <c r="F71" s="116">
        <f>IF('(FnCalls 1)'!A10-1-'(Tables)'!B166&lt;0,0,IF(OR('(FnCalls 1)'!A9-'(FnCalls 1)'!A7=0,'(FnCalls 1)'!A9-1-'(Tables)'!B166&lt;0),Inputs!E37,'(Compute)'!F40))</f>
        <v>0</v>
      </c>
      <c r="G71" s="116">
        <f>IF('(FnCalls 1)'!A11-1-'(Tables)'!B166&lt;0,0,IF(OR('(FnCalls 1)'!A10-'(FnCalls 1)'!A7=0,'(FnCalls 1)'!A10-1-'(Tables)'!B166&lt;0),Inputs!E37,'(Compute)'!G40))</f>
        <v>0</v>
      </c>
      <c r="H71" s="69">
        <f>G71</f>
        <v>0</v>
      </c>
      <c r="I71" s="116">
        <f>IF('(FnCalls 1)'!A12-1-'(Tables)'!B166&lt;0,0,IF(OR('(FnCalls 1)'!A11-'(FnCalls 1)'!A7=0,'(FnCalls 1)'!A11-1-'(Tables)'!B166&lt;0),Inputs!E37,'(Compute)'!I40))</f>
        <v>0</v>
      </c>
      <c r="J71" s="116">
        <f>IF('(FnCalls 1)'!A13-1-'(Tables)'!B166&lt;0,0,IF(OR('(FnCalls 1)'!A12-'(FnCalls 1)'!A7=0,'(FnCalls 1)'!A12-1-'(Tables)'!B166&lt;0),Inputs!E37,'(Compute)'!J40))</f>
        <v>0</v>
      </c>
      <c r="K71" s="116">
        <f>IF('(FnCalls 1)'!A14-1-'(Tables)'!B166&lt;0,0,IF(OR('(FnCalls 1)'!A13-'(FnCalls 1)'!A7=0,'(FnCalls 1)'!A13-1-'(Tables)'!B166&lt;0),Inputs!E37,'(Compute)'!K40))</f>
        <v>0</v>
      </c>
      <c r="L71" s="116">
        <f>IF('(FnCalls 1)'!A15-1-'(Tables)'!B166&lt;0,0,IF(OR('(FnCalls 1)'!A14-'(FnCalls 1)'!A7=0,'(FnCalls 1)'!A14-1-'(Tables)'!B166&lt;0),Inputs!E37,'(Compute)'!L40))</f>
        <v>0</v>
      </c>
      <c r="M71" s="69">
        <f>L71</f>
        <v>0</v>
      </c>
    </row>
    <row r="72" spans="1:13" ht="12.75" hidden="1" customHeight="1" outlineLevel="1" x14ac:dyDescent="0.2">
      <c r="A72" s="144" t="str">
        <f>"      "&amp;Labels!B191</f>
        <v xml:space="preserve">      Supplies inventory</v>
      </c>
      <c r="B72" s="116">
        <f>IF('(FnCalls 1)'!A7-1-'(Tables)'!B166&lt;0,0,IF(OR('(FnCalls 1)'!A6-'(FnCalls 1)'!A7=0,'(FnCalls 1)'!A6-1-'(Tables)'!B166&lt;0),Inputs!F37,'(Compute)'!B50))</f>
        <v>0</v>
      </c>
      <c r="C72" s="69">
        <f>B72</f>
        <v>0</v>
      </c>
      <c r="D72" s="116">
        <f>IF('(FnCalls 1)'!A8-1-'(Tables)'!B166&lt;0,0,IF(OR('(FnCalls 1)'!A7-'(FnCalls 1)'!A7=0,'(FnCalls 1)'!A7-1-'(Tables)'!B166&lt;0),Inputs!F37,'(Compute)'!D50))</f>
        <v>0</v>
      </c>
      <c r="E72" s="116">
        <f>IF('(FnCalls 1)'!A9-1-'(Tables)'!B166&lt;0,0,IF(OR('(FnCalls 1)'!A8-'(FnCalls 1)'!A7=0,'(FnCalls 1)'!A8-1-'(Tables)'!B166&lt;0),Inputs!F37,'(Compute)'!E50))</f>
        <v>0</v>
      </c>
      <c r="F72" s="116">
        <f>IF('(FnCalls 1)'!A10-1-'(Tables)'!B166&lt;0,0,IF(OR('(FnCalls 1)'!A9-'(FnCalls 1)'!A7=0,'(FnCalls 1)'!A9-1-'(Tables)'!B166&lt;0),Inputs!F37,'(Compute)'!F50))</f>
        <v>0</v>
      </c>
      <c r="G72" s="116">
        <f>IF('(FnCalls 1)'!A11-1-'(Tables)'!B166&lt;0,0,IF(OR('(FnCalls 1)'!A10-'(FnCalls 1)'!A7=0,'(FnCalls 1)'!A10-1-'(Tables)'!B166&lt;0),Inputs!F37,'(Compute)'!G50))</f>
        <v>0</v>
      </c>
      <c r="H72" s="69">
        <f>G72</f>
        <v>0</v>
      </c>
      <c r="I72" s="116">
        <f>IF('(FnCalls 1)'!A12-1-'(Tables)'!B166&lt;0,0,IF(OR('(FnCalls 1)'!A11-'(FnCalls 1)'!A7=0,'(FnCalls 1)'!A11-1-'(Tables)'!B166&lt;0),Inputs!F37,'(Compute)'!I50))</f>
        <v>0</v>
      </c>
      <c r="J72" s="116">
        <f>IF('(FnCalls 1)'!A13-1-'(Tables)'!B166&lt;0,0,IF(OR('(FnCalls 1)'!A12-'(FnCalls 1)'!A7=0,'(FnCalls 1)'!A12-1-'(Tables)'!B166&lt;0),Inputs!F37,'(Compute)'!J50))</f>
        <v>0</v>
      </c>
      <c r="K72" s="116">
        <f>IF('(FnCalls 1)'!A14-1-'(Tables)'!B166&lt;0,0,IF(OR('(FnCalls 1)'!A13-'(FnCalls 1)'!A7=0,'(FnCalls 1)'!A13-1-'(Tables)'!B166&lt;0),Inputs!F37,'(Compute)'!K50))</f>
        <v>0</v>
      </c>
      <c r="L72" s="116">
        <f>IF('(FnCalls 1)'!A15-1-'(Tables)'!B166&lt;0,0,IF(OR('(FnCalls 1)'!A14-'(FnCalls 1)'!A7=0,'(FnCalls 1)'!A14-1-'(Tables)'!B166&lt;0),Inputs!F37,'(Compute)'!L50))</f>
        <v>0</v>
      </c>
      <c r="M72" s="69">
        <f>L72</f>
        <v>0</v>
      </c>
    </row>
    <row r="73" spans="1:13" ht="12.75" hidden="1" customHeight="1" outlineLevel="1" x14ac:dyDescent="0.2">
      <c r="A73" s="114" t="str">
        <f>"      "&amp;Labels!C189</f>
        <v xml:space="preserve">      Total</v>
      </c>
      <c r="B73" s="113">
        <f>SUM(B71:B72)</f>
        <v>0</v>
      </c>
      <c r="C73" s="69">
        <f>SUM(B71:B72)</f>
        <v>0</v>
      </c>
      <c r="D73" s="113">
        <f>SUM(D71:D72)</f>
        <v>0</v>
      </c>
      <c r="E73" s="113">
        <f>SUM(E71:E72)</f>
        <v>0</v>
      </c>
      <c r="F73" s="113">
        <f>SUM(F71:F72)</f>
        <v>0</v>
      </c>
      <c r="G73" s="113">
        <f>SUM(G71:G72)</f>
        <v>0</v>
      </c>
      <c r="H73" s="69">
        <f>SUM(G71:G72)</f>
        <v>0</v>
      </c>
      <c r="I73" s="113">
        <f>SUM(I71:I72)</f>
        <v>0</v>
      </c>
      <c r="J73" s="113">
        <f>SUM(J71:J72)</f>
        <v>0</v>
      </c>
      <c r="K73" s="113">
        <f>SUM(K71:K72)</f>
        <v>0</v>
      </c>
      <c r="L73" s="113">
        <f>SUM(L71:L72)</f>
        <v>0</v>
      </c>
      <c r="M73" s="69">
        <f>SUM(L71:L72)</f>
        <v>0</v>
      </c>
    </row>
    <row r="74" spans="1:13" ht="12.75" hidden="1" customHeight="1" outlineLevel="1" x14ac:dyDescent="0.2">
      <c r="A74" s="114" t="str">
        <f>"   "&amp;Labels!B183</f>
        <v xml:space="preserve">   Canoes</v>
      </c>
      <c r="B74" s="113"/>
      <c r="C74" s="69"/>
      <c r="D74" s="113"/>
      <c r="E74" s="113"/>
      <c r="F74" s="113"/>
      <c r="G74" s="113"/>
      <c r="H74" s="69"/>
      <c r="I74" s="113"/>
      <c r="J74" s="113"/>
      <c r="K74" s="113"/>
      <c r="L74" s="113"/>
      <c r="M74" s="69"/>
    </row>
    <row r="75" spans="1:13" ht="12.75" hidden="1" customHeight="1" outlineLevel="1" x14ac:dyDescent="0.2">
      <c r="A75" s="144" t="str">
        <f>"      "&amp;Labels!B190</f>
        <v xml:space="preserve">      Receivables</v>
      </c>
      <c r="B75" s="116">
        <f>IF('(FnCalls 1)'!A7-1-'(Tables)'!B167&lt;0,0,IF(OR('(FnCalls 1)'!A6-'(FnCalls 1)'!A7=0,'(FnCalls 1)'!A6-1-'(Tables)'!B167&lt;0),Inputs!E38,'(Compute)'!B43))</f>
        <v>0</v>
      </c>
      <c r="C75" s="69">
        <f>B75</f>
        <v>0</v>
      </c>
      <c r="D75" s="116">
        <f>IF('(FnCalls 1)'!A8-1-'(Tables)'!B167&lt;0,0,IF(OR('(FnCalls 1)'!A7-'(FnCalls 1)'!A7=0,'(FnCalls 1)'!A7-1-'(Tables)'!B167&lt;0),Inputs!E38,'(Compute)'!D43))</f>
        <v>0</v>
      </c>
      <c r="E75" s="116">
        <f>IF('(FnCalls 1)'!A9-1-'(Tables)'!B167&lt;0,0,IF(OR('(FnCalls 1)'!A8-'(FnCalls 1)'!A7=0,'(FnCalls 1)'!A8-1-'(Tables)'!B167&lt;0),Inputs!E38,'(Compute)'!E43))</f>
        <v>0</v>
      </c>
      <c r="F75" s="116">
        <f>IF('(FnCalls 1)'!A10-1-'(Tables)'!B167&lt;0,0,IF(OR('(FnCalls 1)'!A9-'(FnCalls 1)'!A7=0,'(FnCalls 1)'!A9-1-'(Tables)'!B167&lt;0),Inputs!E38,'(Compute)'!F43))</f>
        <v>0</v>
      </c>
      <c r="G75" s="116">
        <f>IF('(FnCalls 1)'!A11-1-'(Tables)'!B167&lt;0,0,IF(OR('(FnCalls 1)'!A10-'(FnCalls 1)'!A7=0,'(FnCalls 1)'!A10-1-'(Tables)'!B167&lt;0),Inputs!E38,'(Compute)'!G43))</f>
        <v>0</v>
      </c>
      <c r="H75" s="69">
        <f>G75</f>
        <v>0</v>
      </c>
      <c r="I75" s="116">
        <f>IF('(FnCalls 1)'!A12-1-'(Tables)'!B167&lt;0,0,IF(OR('(FnCalls 1)'!A11-'(FnCalls 1)'!A7=0,'(FnCalls 1)'!A11-1-'(Tables)'!B167&lt;0),Inputs!E38,'(Compute)'!I43))</f>
        <v>0</v>
      </c>
      <c r="J75" s="116">
        <f>IF('(FnCalls 1)'!A13-1-'(Tables)'!B167&lt;0,0,IF(OR('(FnCalls 1)'!A12-'(FnCalls 1)'!A7=0,'(FnCalls 1)'!A12-1-'(Tables)'!B167&lt;0),Inputs!E38,'(Compute)'!J43))</f>
        <v>0</v>
      </c>
      <c r="K75" s="116">
        <f>IF('(FnCalls 1)'!A14-1-'(Tables)'!B167&lt;0,0,IF(OR('(FnCalls 1)'!A13-'(FnCalls 1)'!A7=0,'(FnCalls 1)'!A13-1-'(Tables)'!B167&lt;0),Inputs!E38,'(Compute)'!K43))</f>
        <v>0</v>
      </c>
      <c r="L75" s="116">
        <f>IF('(FnCalls 1)'!A15-1-'(Tables)'!B167&lt;0,0,IF(OR('(FnCalls 1)'!A14-'(FnCalls 1)'!A7=0,'(FnCalls 1)'!A14-1-'(Tables)'!B167&lt;0),Inputs!E38,'(Compute)'!L43))</f>
        <v>0</v>
      </c>
      <c r="M75" s="69">
        <f>L75</f>
        <v>0</v>
      </c>
    </row>
    <row r="76" spans="1:13" ht="12.75" hidden="1" customHeight="1" outlineLevel="1" x14ac:dyDescent="0.2">
      <c r="A76" s="144" t="str">
        <f>"      "&amp;Labels!B191</f>
        <v xml:space="preserve">      Supplies inventory</v>
      </c>
      <c r="B76" s="116">
        <f>IF('(FnCalls 1)'!A7-1-'(Tables)'!B167&lt;0,0,IF(OR('(FnCalls 1)'!A6-'(FnCalls 1)'!A7=0,'(FnCalls 1)'!A6-1-'(Tables)'!B167&lt;0),Inputs!F38,'(Compute)'!B53))</f>
        <v>0</v>
      </c>
      <c r="C76" s="69">
        <f>B76</f>
        <v>0</v>
      </c>
      <c r="D76" s="116">
        <f>IF('(FnCalls 1)'!A8-1-'(Tables)'!B167&lt;0,0,IF(OR('(FnCalls 1)'!A7-'(FnCalls 1)'!A7=0,'(FnCalls 1)'!A7-1-'(Tables)'!B167&lt;0),Inputs!F38,'(Compute)'!D53))</f>
        <v>0</v>
      </c>
      <c r="E76" s="116">
        <f>IF('(FnCalls 1)'!A9-1-'(Tables)'!B167&lt;0,0,IF(OR('(FnCalls 1)'!A8-'(FnCalls 1)'!A7=0,'(FnCalls 1)'!A8-1-'(Tables)'!B167&lt;0),Inputs!F38,'(Compute)'!E53))</f>
        <v>0</v>
      </c>
      <c r="F76" s="116">
        <f>IF('(FnCalls 1)'!A10-1-'(Tables)'!B167&lt;0,0,IF(OR('(FnCalls 1)'!A9-'(FnCalls 1)'!A7=0,'(FnCalls 1)'!A9-1-'(Tables)'!B167&lt;0),Inputs!F38,'(Compute)'!F53))</f>
        <v>0</v>
      </c>
      <c r="G76" s="116">
        <f>IF('(FnCalls 1)'!A11-1-'(Tables)'!B167&lt;0,0,IF(OR('(FnCalls 1)'!A10-'(FnCalls 1)'!A7=0,'(FnCalls 1)'!A10-1-'(Tables)'!B167&lt;0),Inputs!F38,'(Compute)'!G53))</f>
        <v>0</v>
      </c>
      <c r="H76" s="69">
        <f>G76</f>
        <v>0</v>
      </c>
      <c r="I76" s="116">
        <f>IF('(FnCalls 1)'!A12-1-'(Tables)'!B167&lt;0,0,IF(OR('(FnCalls 1)'!A11-'(FnCalls 1)'!A7=0,'(FnCalls 1)'!A11-1-'(Tables)'!B167&lt;0),Inputs!F38,'(Compute)'!I53))</f>
        <v>0</v>
      </c>
      <c r="J76" s="116">
        <f>IF('(FnCalls 1)'!A13-1-'(Tables)'!B167&lt;0,0,IF(OR('(FnCalls 1)'!A12-'(FnCalls 1)'!A7=0,'(FnCalls 1)'!A12-1-'(Tables)'!B167&lt;0),Inputs!F38,'(Compute)'!J53))</f>
        <v>0</v>
      </c>
      <c r="K76" s="116">
        <f>IF('(FnCalls 1)'!A14-1-'(Tables)'!B167&lt;0,0,IF(OR('(FnCalls 1)'!A13-'(FnCalls 1)'!A7=0,'(FnCalls 1)'!A13-1-'(Tables)'!B167&lt;0),Inputs!F38,'(Compute)'!K53))</f>
        <v>0</v>
      </c>
      <c r="L76" s="116">
        <f>IF('(FnCalls 1)'!A15-1-'(Tables)'!B167&lt;0,0,IF(OR('(FnCalls 1)'!A14-'(FnCalls 1)'!A7=0,'(FnCalls 1)'!A14-1-'(Tables)'!B167&lt;0),Inputs!F38,'(Compute)'!L53))</f>
        <v>0</v>
      </c>
      <c r="M76" s="69">
        <f>L76</f>
        <v>0</v>
      </c>
    </row>
    <row r="77" spans="1:13" ht="12.75" hidden="1" customHeight="1" outlineLevel="1" x14ac:dyDescent="0.2">
      <c r="A77" s="114" t="str">
        <f>"      "&amp;Labels!C189</f>
        <v xml:space="preserve">      Total</v>
      </c>
      <c r="B77" s="113">
        <f>SUM(B75:B76)</f>
        <v>0</v>
      </c>
      <c r="C77" s="69">
        <f>SUM(B75:B76)</f>
        <v>0</v>
      </c>
      <c r="D77" s="113">
        <f>SUM(D75:D76)</f>
        <v>0</v>
      </c>
      <c r="E77" s="113">
        <f>SUM(E75:E76)</f>
        <v>0</v>
      </c>
      <c r="F77" s="113">
        <f>SUM(F75:F76)</f>
        <v>0</v>
      </c>
      <c r="G77" s="113">
        <f>SUM(G75:G76)</f>
        <v>0</v>
      </c>
      <c r="H77" s="69">
        <f>SUM(G75:G76)</f>
        <v>0</v>
      </c>
      <c r="I77" s="113">
        <f>SUM(I75:I76)</f>
        <v>0</v>
      </c>
      <c r="J77" s="113">
        <f>SUM(J75:J76)</f>
        <v>0</v>
      </c>
      <c r="K77" s="113">
        <f>SUM(K75:K76)</f>
        <v>0</v>
      </c>
      <c r="L77" s="113">
        <f>SUM(L75:L76)</f>
        <v>0</v>
      </c>
      <c r="M77" s="69">
        <f>SUM(L75:L76)</f>
        <v>0</v>
      </c>
    </row>
    <row r="78" spans="1:13" ht="12.75" hidden="1" customHeight="1" outlineLevel="1" x14ac:dyDescent="0.2">
      <c r="A78" s="117" t="str">
        <f>"   "&amp;Labels!C181</f>
        <v xml:space="preserve">   Total</v>
      </c>
      <c r="B78" s="120">
        <f>SUM(B79:B80)</f>
        <v>0</v>
      </c>
      <c r="C78" s="69">
        <f>SUM(B73,B77)</f>
        <v>0</v>
      </c>
      <c r="D78" s="120">
        <f>SUM(D79:D80)</f>
        <v>0</v>
      </c>
      <c r="E78" s="120">
        <f>SUM(E79:E80)</f>
        <v>0</v>
      </c>
      <c r="F78" s="120">
        <f>SUM(F79:F80)</f>
        <v>0</v>
      </c>
      <c r="G78" s="120">
        <f>SUM(G79:G80)</f>
        <v>0</v>
      </c>
      <c r="H78" s="69">
        <f>SUM(G73,G77)</f>
        <v>0</v>
      </c>
      <c r="I78" s="120">
        <f>SUM(I79:I80)</f>
        <v>0</v>
      </c>
      <c r="J78" s="120">
        <f>SUM(J79:J80)</f>
        <v>0</v>
      </c>
      <c r="K78" s="120">
        <f>SUM(K79:K80)</f>
        <v>0</v>
      </c>
      <c r="L78" s="120">
        <f>SUM(L79:L80)</f>
        <v>0</v>
      </c>
      <c r="M78" s="69">
        <f>SUM(L73,L77)</f>
        <v>0</v>
      </c>
    </row>
    <row r="79" spans="1:13" ht="12.75" hidden="1" customHeight="1" outlineLevel="1" x14ac:dyDescent="0.2">
      <c r="A79" s="144" t="str">
        <f>"      "&amp;Labels!B190</f>
        <v xml:space="preserve">      Receivables</v>
      </c>
      <c r="B79" s="116">
        <f>SUM(B71,B75)</f>
        <v>0</v>
      </c>
      <c r="C79" s="69">
        <f>SUM(B71,B75)</f>
        <v>0</v>
      </c>
      <c r="D79" s="116">
        <f t="shared" ref="D79:G81" si="1">SUM(D71,D75)</f>
        <v>0</v>
      </c>
      <c r="E79" s="116">
        <f t="shared" si="1"/>
        <v>0</v>
      </c>
      <c r="F79" s="116">
        <f t="shared" si="1"/>
        <v>0</v>
      </c>
      <c r="G79" s="116">
        <f t="shared" si="1"/>
        <v>0</v>
      </c>
      <c r="H79" s="69">
        <f>SUM(G71,G75)</f>
        <v>0</v>
      </c>
      <c r="I79" s="116">
        <f t="shared" ref="I79:L81" si="2">SUM(I71,I75)</f>
        <v>0</v>
      </c>
      <c r="J79" s="116">
        <f t="shared" si="2"/>
        <v>0</v>
      </c>
      <c r="K79" s="116">
        <f t="shared" si="2"/>
        <v>0</v>
      </c>
      <c r="L79" s="116">
        <f t="shared" si="2"/>
        <v>0</v>
      </c>
      <c r="M79" s="69">
        <f>SUM(L71,L75)</f>
        <v>0</v>
      </c>
    </row>
    <row r="80" spans="1:13" ht="12.75" hidden="1" customHeight="1" outlineLevel="1" x14ac:dyDescent="0.2">
      <c r="A80" s="144" t="str">
        <f>"      "&amp;Labels!B191</f>
        <v xml:space="preserve">      Supplies inventory</v>
      </c>
      <c r="B80" s="116">
        <f>SUM(B72,B76)</f>
        <v>0</v>
      </c>
      <c r="C80" s="69">
        <f>SUM(B72,B76)</f>
        <v>0</v>
      </c>
      <c r="D80" s="116">
        <f t="shared" si="1"/>
        <v>0</v>
      </c>
      <c r="E80" s="116">
        <f t="shared" si="1"/>
        <v>0</v>
      </c>
      <c r="F80" s="116">
        <f t="shared" si="1"/>
        <v>0</v>
      </c>
      <c r="G80" s="116">
        <f t="shared" si="1"/>
        <v>0</v>
      </c>
      <c r="H80" s="69">
        <f>SUM(G72,G76)</f>
        <v>0</v>
      </c>
      <c r="I80" s="116">
        <f t="shared" si="2"/>
        <v>0</v>
      </c>
      <c r="J80" s="116">
        <f t="shared" si="2"/>
        <v>0</v>
      </c>
      <c r="K80" s="116">
        <f t="shared" si="2"/>
        <v>0</v>
      </c>
      <c r="L80" s="116">
        <f t="shared" si="2"/>
        <v>0</v>
      </c>
      <c r="M80" s="69">
        <f>SUM(L72,L76)</f>
        <v>0</v>
      </c>
    </row>
    <row r="81" spans="1:13" ht="12.75" hidden="1" customHeight="1" outlineLevel="1" x14ac:dyDescent="0.2">
      <c r="A81" s="145" t="str">
        <f>"      "&amp;Labels!C189</f>
        <v xml:space="preserve">      Total</v>
      </c>
      <c r="B81" s="123">
        <f>SUM(B73,B77)</f>
        <v>0</v>
      </c>
      <c r="C81" s="70">
        <f>SUM(B73,B77)</f>
        <v>0</v>
      </c>
      <c r="D81" s="123">
        <f t="shared" si="1"/>
        <v>0</v>
      </c>
      <c r="E81" s="123">
        <f t="shared" si="1"/>
        <v>0</v>
      </c>
      <c r="F81" s="123">
        <f t="shared" si="1"/>
        <v>0</v>
      </c>
      <c r="G81" s="123">
        <f t="shared" si="1"/>
        <v>0</v>
      </c>
      <c r="H81" s="70">
        <f>SUM(G73,G77)</f>
        <v>0</v>
      </c>
      <c r="I81" s="123">
        <f t="shared" si="2"/>
        <v>0</v>
      </c>
      <c r="J81" s="123">
        <f t="shared" si="2"/>
        <v>0</v>
      </c>
      <c r="K81" s="123">
        <f t="shared" si="2"/>
        <v>0</v>
      </c>
      <c r="L81" s="123">
        <f t="shared" si="2"/>
        <v>0</v>
      </c>
      <c r="M81" s="70">
        <f>SUM(L73,L77)</f>
        <v>0</v>
      </c>
    </row>
    <row r="82" spans="1:13" ht="12.75" hidden="1" customHeight="1" outlineLevel="1" x14ac:dyDescent="0.2"/>
    <row r="83" spans="1:13" ht="12.75" hidden="1" customHeight="1" outlineLevel="1" collapsed="1" x14ac:dyDescent="0.2"/>
    <row r="84" spans="1:13" ht="12.75" customHeight="1" collapsed="1" x14ac:dyDescent="0.2"/>
    <row r="85" spans="1:13" ht="12.75" customHeight="1" x14ac:dyDescent="0.2">
      <c r="A85" s="2" t="str">
        <f>"Financing"</f>
        <v>Financing</v>
      </c>
    </row>
    <row r="86" spans="1:13" ht="12.75" hidden="1" customHeight="1" outlineLevel="1" x14ac:dyDescent="0.2">
      <c r="A86" s="2" t="str">
        <f>""</f>
        <v/>
      </c>
    </row>
    <row r="87" spans="1:13" ht="12.75" hidden="1" customHeight="1" outlineLevel="1" x14ac:dyDescent="0.2">
      <c r="B87" s="17" t="str">
        <f>Labels!B157</f>
        <v>Equity</v>
      </c>
      <c r="C87" s="18" t="str">
        <f>Labels!B158</f>
        <v>Debt</v>
      </c>
      <c r="D87" s="18" t="str">
        <f>Labels!B159</f>
        <v>Lease</v>
      </c>
      <c r="E87" s="62" t="str">
        <f>Labels!C156</f>
        <v>Total</v>
      </c>
    </row>
    <row r="88" spans="1:13" ht="12.75" hidden="1" customHeight="1" outlineLevel="1" x14ac:dyDescent="0.2">
      <c r="A88" s="111" t="str">
        <f>Labels!B56</f>
        <v>Financing Weights</v>
      </c>
      <c r="B88" s="146"/>
      <c r="C88" s="146"/>
      <c r="D88" s="146"/>
      <c r="E88" s="65"/>
    </row>
    <row r="89" spans="1:13" ht="12.75" hidden="1" customHeight="1" outlineLevel="1" x14ac:dyDescent="0.2">
      <c r="A89" s="114" t="str">
        <f>"   "&amp;Labels!B182</f>
        <v xml:space="preserve">   Catamarans</v>
      </c>
      <c r="B89" s="147"/>
      <c r="C89" s="147"/>
      <c r="D89" s="147"/>
      <c r="E89" s="68"/>
    </row>
    <row r="90" spans="1:13" ht="12.75" hidden="1" customHeight="1" outlineLevel="1" x14ac:dyDescent="0.2">
      <c r="A90" s="144" t="str">
        <f>"      "&amp;Labels!B170</f>
        <v xml:space="preserve">      Invest 1</v>
      </c>
      <c r="B90" s="148">
        <f>INDEX('(Ranges)'!A1:C1,,Inputs!E139)</f>
        <v>1</v>
      </c>
      <c r="C90" s="148">
        <f>INDEX('(Ranges)'!A2:C2,,Inputs!E139)</f>
        <v>0</v>
      </c>
      <c r="D90" s="148">
        <f>INDEX('(Ranges)'!A3:C3,,Inputs!E139)</f>
        <v>0</v>
      </c>
      <c r="E90" s="68">
        <f>SUM(B90:D90)</f>
        <v>1</v>
      </c>
    </row>
    <row r="91" spans="1:13" ht="12.75" hidden="1" customHeight="1" outlineLevel="1" x14ac:dyDescent="0.2">
      <c r="A91" s="144" t="str">
        <f>"      "&amp;Labels!B171</f>
        <v xml:space="preserve">      Invest 2</v>
      </c>
      <c r="B91" s="148">
        <f>INDEX('(Ranges)'!A4:C4,,Inputs!E139)</f>
        <v>1</v>
      </c>
      <c r="C91" s="148">
        <f>INDEX('(Ranges)'!A5:C5,,Inputs!E139)</f>
        <v>0</v>
      </c>
      <c r="D91" s="148">
        <f>INDEX('(Ranges)'!A6:C6,,Inputs!E139)</f>
        <v>0</v>
      </c>
      <c r="E91" s="68">
        <f>SUM(B91:D91)</f>
        <v>1</v>
      </c>
    </row>
    <row r="92" spans="1:13" ht="12.75" hidden="1" customHeight="1" outlineLevel="1" x14ac:dyDescent="0.2">
      <c r="A92" s="114" t="str">
        <f>"      "&amp;Labels!C169</f>
        <v xml:space="preserve">      Total</v>
      </c>
      <c r="B92" s="147">
        <f>AVERAGE(B90:B91)</f>
        <v>1</v>
      </c>
      <c r="C92" s="147">
        <f>AVERAGE(C90:C91)</f>
        <v>0</v>
      </c>
      <c r="D92" s="147">
        <f>AVERAGE(D90:D91)</f>
        <v>0</v>
      </c>
      <c r="E92" s="68">
        <f>SUM(B92:D92)</f>
        <v>1</v>
      </c>
    </row>
    <row r="93" spans="1:13" ht="12.75" hidden="1" customHeight="1" outlineLevel="1" x14ac:dyDescent="0.2">
      <c r="A93" s="114" t="str">
        <f>"   "&amp;Labels!B183</f>
        <v xml:space="preserve">   Canoes</v>
      </c>
      <c r="B93" s="147"/>
      <c r="C93" s="147"/>
      <c r="D93" s="147"/>
      <c r="E93" s="68"/>
    </row>
    <row r="94" spans="1:13" ht="12.75" hidden="1" customHeight="1" outlineLevel="1" x14ac:dyDescent="0.2">
      <c r="A94" s="144" t="str">
        <f>"      "&amp;Labels!B170</f>
        <v xml:space="preserve">      Invest 1</v>
      </c>
      <c r="B94" s="148">
        <f>INDEX('(Ranges)'!A7:C7,,Inputs!E139)</f>
        <v>1</v>
      </c>
      <c r="C94" s="148">
        <f>INDEX('(Ranges)'!A8:C8,,Inputs!E139)</f>
        <v>0</v>
      </c>
      <c r="D94" s="148">
        <f>INDEX('(Ranges)'!A9:C9,,Inputs!E139)</f>
        <v>0</v>
      </c>
      <c r="E94" s="68">
        <f t="shared" ref="E94:E99" si="3">SUM(B94:D94)</f>
        <v>1</v>
      </c>
    </row>
    <row r="95" spans="1:13" ht="12.75" hidden="1" customHeight="1" outlineLevel="1" x14ac:dyDescent="0.2">
      <c r="A95" s="144" t="str">
        <f>"      "&amp;Labels!B171</f>
        <v xml:space="preserve">      Invest 2</v>
      </c>
      <c r="B95" s="148">
        <f>INDEX('(Ranges)'!A10:C10,,Inputs!E139)</f>
        <v>1</v>
      </c>
      <c r="C95" s="148">
        <f>INDEX('(Ranges)'!A11:C11,,Inputs!E139)</f>
        <v>0</v>
      </c>
      <c r="D95" s="148">
        <f>INDEX('(Ranges)'!A12:C12,,Inputs!E139)</f>
        <v>0</v>
      </c>
      <c r="E95" s="68">
        <f t="shared" si="3"/>
        <v>1</v>
      </c>
    </row>
    <row r="96" spans="1:13" ht="12.75" hidden="1" customHeight="1" outlineLevel="1" x14ac:dyDescent="0.2">
      <c r="A96" s="114" t="str">
        <f>"      "&amp;Labels!C169</f>
        <v xml:space="preserve">      Total</v>
      </c>
      <c r="B96" s="147">
        <f>AVERAGE(B94:B95)</f>
        <v>1</v>
      </c>
      <c r="C96" s="147">
        <f>AVERAGE(C94:C95)</f>
        <v>0</v>
      </c>
      <c r="D96" s="147">
        <f>AVERAGE(D94:D95)</f>
        <v>0</v>
      </c>
      <c r="E96" s="68">
        <f t="shared" si="3"/>
        <v>1</v>
      </c>
    </row>
    <row r="97" spans="1:13" ht="12.75" hidden="1" customHeight="1" outlineLevel="1" x14ac:dyDescent="0.2">
      <c r="A97" s="117" t="str">
        <f>"   "&amp;Labels!C181</f>
        <v xml:space="preserve">   Total</v>
      </c>
      <c r="B97" s="149">
        <f>AVERAGE(B92,B96)</f>
        <v>1</v>
      </c>
      <c r="C97" s="149">
        <f>AVERAGE(C92,C96)</f>
        <v>0</v>
      </c>
      <c r="D97" s="149">
        <f>AVERAGE(D92,D96)</f>
        <v>0</v>
      </c>
      <c r="E97" s="68">
        <f t="shared" si="3"/>
        <v>1</v>
      </c>
    </row>
    <row r="98" spans="1:13" ht="12.75" hidden="1" customHeight="1" outlineLevel="1" x14ac:dyDescent="0.2">
      <c r="A98" s="144" t="str">
        <f>"      "&amp;Labels!B170</f>
        <v xml:space="preserve">      Invest 1</v>
      </c>
      <c r="B98" s="148">
        <f t="shared" ref="B98:D100" si="4">AVERAGE(B90,B94)</f>
        <v>1</v>
      </c>
      <c r="C98" s="148">
        <f t="shared" si="4"/>
        <v>0</v>
      </c>
      <c r="D98" s="148">
        <f t="shared" si="4"/>
        <v>0</v>
      </c>
      <c r="E98" s="68">
        <f t="shared" si="3"/>
        <v>1</v>
      </c>
    </row>
    <row r="99" spans="1:13" ht="12.75" hidden="1" customHeight="1" outlineLevel="1" x14ac:dyDescent="0.2">
      <c r="A99" s="144" t="str">
        <f>"      "&amp;Labels!B171</f>
        <v xml:space="preserve">      Invest 2</v>
      </c>
      <c r="B99" s="148">
        <f t="shared" si="4"/>
        <v>1</v>
      </c>
      <c r="C99" s="148">
        <f t="shared" si="4"/>
        <v>0</v>
      </c>
      <c r="D99" s="148">
        <f t="shared" si="4"/>
        <v>0</v>
      </c>
      <c r="E99" s="68">
        <f t="shared" si="3"/>
        <v>1</v>
      </c>
    </row>
    <row r="100" spans="1:13" ht="12.75" hidden="1" customHeight="1" outlineLevel="1" x14ac:dyDescent="0.2">
      <c r="A100" s="114" t="str">
        <f>"      "&amp;Labels!C169</f>
        <v xml:space="preserve">      Total</v>
      </c>
      <c r="B100" s="147">
        <f t="shared" si="4"/>
        <v>1</v>
      </c>
      <c r="C100" s="147">
        <f t="shared" si="4"/>
        <v>0</v>
      </c>
      <c r="D100" s="147">
        <f t="shared" si="4"/>
        <v>0</v>
      </c>
      <c r="E100" s="68">
        <f>SUM(B97:D97)</f>
        <v>1</v>
      </c>
    </row>
    <row r="101" spans="1:13" ht="12.75" hidden="1" customHeight="1" outlineLevel="1" x14ac:dyDescent="0.2">
      <c r="A101" s="12"/>
      <c r="B101" s="10"/>
      <c r="C101" s="10"/>
      <c r="D101" s="10"/>
      <c r="E101" s="12"/>
    </row>
    <row r="102" spans="1:13" ht="12.75" hidden="1" customHeight="1" outlineLevel="1" x14ac:dyDescent="0.2">
      <c r="A102" s="111" t="str">
        <f>Labels!B58</f>
        <v>Financial Leverage</v>
      </c>
      <c r="B102" s="150"/>
    </row>
    <row r="103" spans="1:13" ht="12.75" hidden="1" customHeight="1" outlineLevel="1" x14ac:dyDescent="0.2">
      <c r="A103" s="114" t="str">
        <f>"   "&amp;Labels!B182</f>
        <v xml:space="preserve">   Catamarans</v>
      </c>
      <c r="B103" s="151">
        <f>IF(F36=0,0,F36*C92/F36+F36*D92/F36)</f>
        <v>0</v>
      </c>
    </row>
    <row r="104" spans="1:13" ht="12.75" hidden="1" customHeight="1" outlineLevel="1" x14ac:dyDescent="0.2">
      <c r="A104" s="114" t="str">
        <f>"   "&amp;Labels!B183</f>
        <v xml:space="preserve">   Canoes</v>
      </c>
      <c r="B104" s="151">
        <f>IF(F40=0,0,F40*C96/F40+F40*D96/F40)</f>
        <v>0</v>
      </c>
    </row>
    <row r="105" spans="1:13" ht="12.75" hidden="1" customHeight="1" outlineLevel="1" x14ac:dyDescent="0.2">
      <c r="A105" s="121" t="str">
        <f>"   "&amp;Labels!C181</f>
        <v xml:space="preserve">   Total</v>
      </c>
      <c r="B105" s="152">
        <f>IF(E12=0,0,E12*C97/E12+E12*D97/E12)</f>
        <v>0</v>
      </c>
    </row>
    <row r="106" spans="1:13" ht="12.75" hidden="1" customHeight="1" outlineLevel="1" x14ac:dyDescent="0.2"/>
    <row r="107" spans="1:13" ht="12.75" hidden="1" customHeight="1" outlineLevel="1" collapsed="1" x14ac:dyDescent="0.2"/>
    <row r="108" spans="1:13" ht="12.75" customHeight="1" collapsed="1" x14ac:dyDescent="0.2"/>
    <row r="109" spans="1:13" ht="12.75" customHeight="1" x14ac:dyDescent="0.2">
      <c r="A109" s="2" t="str">
        <f>"Book Value"</f>
        <v>Book Value</v>
      </c>
    </row>
    <row r="110" spans="1:13" ht="12.75" hidden="1" customHeight="1" outlineLevel="1" x14ac:dyDescent="0.2">
      <c r="A110" s="1" t="str">
        <f>""</f>
        <v/>
      </c>
    </row>
    <row r="111" spans="1:13" ht="12.75" hidden="1" customHeight="1" outlineLevel="1" x14ac:dyDescent="0.2">
      <c r="B111" s="17" t="str">
        <f>'(FnCalls 1)'!G6</f>
        <v>Q4 2010</v>
      </c>
      <c r="C111" s="62" t="str">
        <f>'(FnCalls 1)'!H4</f>
        <v>2010</v>
      </c>
      <c r="D111" s="18" t="str">
        <f>'(FnCalls 1)'!G7</f>
        <v>Q1 2011</v>
      </c>
      <c r="E111" s="18" t="str">
        <f>'(FnCalls 1)'!G8</f>
        <v>Q2 2011</v>
      </c>
      <c r="F111" s="18" t="str">
        <f>'(FnCalls 1)'!G9</f>
        <v>Q3 2011</v>
      </c>
      <c r="G111" s="18" t="str">
        <f>'(FnCalls 1)'!G10</f>
        <v>Q4 2011</v>
      </c>
      <c r="H111" s="62" t="str">
        <f>'(FnCalls 1)'!H7</f>
        <v>2011</v>
      </c>
      <c r="I111" s="18" t="str">
        <f>'(FnCalls 1)'!G11</f>
        <v>Q1 2012</v>
      </c>
      <c r="J111" s="18" t="str">
        <f>'(FnCalls 1)'!G12</f>
        <v>Q2 2012</v>
      </c>
      <c r="K111" s="18" t="str">
        <f>'(FnCalls 1)'!G13</f>
        <v>Q3 2012</v>
      </c>
      <c r="L111" s="18" t="str">
        <f>'(FnCalls 1)'!G14</f>
        <v>Q4 2012</v>
      </c>
      <c r="M111" s="62" t="str">
        <f>'(FnCalls 1)'!H11</f>
        <v>2012</v>
      </c>
    </row>
    <row r="112" spans="1:13" ht="12.75" hidden="1" customHeight="1" outlineLevel="1" x14ac:dyDescent="0.2">
      <c r="A112" s="111" t="str">
        <f>Labels!B7</f>
        <v>Book Value</v>
      </c>
      <c r="B112" s="110">
        <f>SUM(B120,B123)</f>
        <v>0</v>
      </c>
      <c r="C112" s="75">
        <f>SUM(B120,B123)</f>
        <v>0</v>
      </c>
      <c r="D112" s="110">
        <f>SUM(D120,D123)</f>
        <v>0</v>
      </c>
      <c r="E112" s="110">
        <f>SUM(E120,E123)</f>
        <v>0</v>
      </c>
      <c r="F112" s="110">
        <f>SUM(F120,F123)</f>
        <v>0</v>
      </c>
      <c r="G112" s="110">
        <f>SUM(G120,G123)</f>
        <v>0</v>
      </c>
      <c r="H112" s="75">
        <f>SUM(G120,G123)</f>
        <v>0</v>
      </c>
      <c r="I112" s="110">
        <f>SUM(I120,I123)</f>
        <v>0</v>
      </c>
      <c r="J112" s="110">
        <f>SUM(J120,J123)</f>
        <v>0</v>
      </c>
      <c r="K112" s="110">
        <f>SUM(K120,K123)</f>
        <v>0</v>
      </c>
      <c r="L112" s="110">
        <f>SUM(L120,L123)</f>
        <v>0</v>
      </c>
      <c r="M112" s="75">
        <f>SUM(L120,L123)</f>
        <v>0</v>
      </c>
    </row>
    <row r="113" spans="1:13" ht="12.75" hidden="1" customHeight="1" outlineLevel="1" x14ac:dyDescent="0.2">
      <c r="A113" s="12"/>
      <c r="B113" s="10"/>
      <c r="C113" s="12"/>
      <c r="D113" s="10"/>
      <c r="E113" s="10"/>
      <c r="F113" s="10"/>
      <c r="G113" s="10"/>
      <c r="H113" s="12"/>
      <c r="I113" s="10"/>
      <c r="J113" s="10"/>
      <c r="K113" s="10"/>
      <c r="L113" s="10"/>
      <c r="M113" s="12"/>
    </row>
    <row r="114" spans="1:13" ht="12.75" hidden="1" customHeight="1" outlineLevel="1" x14ac:dyDescent="0.2">
      <c r="A114" s="121" t="str">
        <f>Labels!B13</f>
        <v>Average Capital</v>
      </c>
      <c r="B114" s="132"/>
      <c r="C114" s="70"/>
      <c r="D114" s="132">
        <f>SUM(D121,D124)</f>
        <v>0</v>
      </c>
      <c r="E114" s="132">
        <f>SUM(E121,E124)</f>
        <v>0</v>
      </c>
      <c r="F114" s="132">
        <f>SUM(F121,F124)</f>
        <v>0</v>
      </c>
      <c r="G114" s="132">
        <f>SUM(G121,G124)</f>
        <v>0</v>
      </c>
      <c r="H114" s="70">
        <f>AVERAGE(D114:G114)</f>
        <v>0</v>
      </c>
      <c r="I114" s="132">
        <f>SUM(I121,I124)</f>
        <v>0</v>
      </c>
      <c r="J114" s="132">
        <f>SUM(J121,J124)</f>
        <v>0</v>
      </c>
      <c r="K114" s="132">
        <f>SUM(K121,K124)</f>
        <v>0</v>
      </c>
      <c r="L114" s="132">
        <f>SUM(L121,L124)</f>
        <v>0</v>
      </c>
      <c r="M114" s="70">
        <f>AVERAGE(I114:L114)</f>
        <v>0</v>
      </c>
    </row>
    <row r="115" spans="1:13" ht="12.75" hidden="1" customHeight="1" outlineLevel="1" x14ac:dyDescent="0.2"/>
    <row r="116" spans="1:13" ht="12.75" hidden="1" customHeight="1" outlineLevel="1" x14ac:dyDescent="0.2">
      <c r="A116" s="272" t="str">
        <f>"Book Value by Sub-Project"</f>
        <v>Book Value by Sub-Project</v>
      </c>
      <c r="B116" s="272"/>
      <c r="C116" s="272"/>
    </row>
    <row r="117" spans="1:13" ht="12.75" hidden="1" customHeight="1" outlineLevel="2" x14ac:dyDescent="0.2">
      <c r="A117" s="272" t="str">
        <f>" "</f>
        <v xml:space="preserve"> </v>
      </c>
      <c r="B117" s="272"/>
      <c r="C117" s="272"/>
    </row>
    <row r="118" spans="1:13" ht="12.75" hidden="1" customHeight="1" outlineLevel="2" x14ac:dyDescent="0.2">
      <c r="B118" s="17" t="str">
        <f>'(FnCalls 1)'!G6</f>
        <v>Q4 2010</v>
      </c>
      <c r="C118" s="62" t="str">
        <f>'(FnCalls 1)'!H4</f>
        <v>2010</v>
      </c>
      <c r="D118" s="18" t="str">
        <f>'(FnCalls 1)'!G7</f>
        <v>Q1 2011</v>
      </c>
      <c r="E118" s="18" t="str">
        <f>'(FnCalls 1)'!G8</f>
        <v>Q2 2011</v>
      </c>
      <c r="F118" s="18" t="str">
        <f>'(FnCalls 1)'!G9</f>
        <v>Q3 2011</v>
      </c>
      <c r="G118" s="18" t="str">
        <f>'(FnCalls 1)'!G10</f>
        <v>Q4 2011</v>
      </c>
      <c r="H118" s="62" t="str">
        <f>'(FnCalls 1)'!H7</f>
        <v>2011</v>
      </c>
      <c r="I118" s="18" t="str">
        <f>'(FnCalls 1)'!G11</f>
        <v>Q1 2012</v>
      </c>
      <c r="J118" s="18" t="str">
        <f>'(FnCalls 1)'!G12</f>
        <v>Q2 2012</v>
      </c>
      <c r="K118" s="18" t="str">
        <f>'(FnCalls 1)'!G13</f>
        <v>Q3 2012</v>
      </c>
      <c r="L118" s="18" t="str">
        <f>'(FnCalls 1)'!G14</f>
        <v>Q4 2012</v>
      </c>
      <c r="M118" s="62" t="str">
        <f>'(FnCalls 1)'!H11</f>
        <v>2012</v>
      </c>
    </row>
    <row r="119" spans="1:13" ht="12.75" hidden="1" customHeight="1" outlineLevel="2" x14ac:dyDescent="0.2">
      <c r="A119" s="111" t="str">
        <f>Labels!B182</f>
        <v>Catamarans</v>
      </c>
      <c r="B119" s="6"/>
      <c r="C119" s="111"/>
      <c r="D119" s="6"/>
      <c r="E119" s="6"/>
      <c r="F119" s="6"/>
      <c r="G119" s="6"/>
      <c r="H119" s="111"/>
      <c r="I119" s="6"/>
      <c r="J119" s="6"/>
      <c r="K119" s="6"/>
      <c r="L119" s="6"/>
      <c r="M119" s="111"/>
    </row>
    <row r="120" spans="1:13" ht="12.75" hidden="1" customHeight="1" outlineLevel="2" x14ac:dyDescent="0.2">
      <c r="A120" s="114" t="str">
        <f>"   "&amp;Labels!B7</f>
        <v xml:space="preserve">   Book Value</v>
      </c>
      <c r="B120" s="113">
        <f>B136+B73</f>
        <v>0</v>
      </c>
      <c r="C120" s="69">
        <f>B120</f>
        <v>0</v>
      </c>
      <c r="D120" s="113">
        <f>D136+D73</f>
        <v>0</v>
      </c>
      <c r="E120" s="113">
        <f>E136+E73</f>
        <v>0</v>
      </c>
      <c r="F120" s="113">
        <f>F136+F73</f>
        <v>0</v>
      </c>
      <c r="G120" s="113">
        <f>G136+G73</f>
        <v>0</v>
      </c>
      <c r="H120" s="69">
        <f>G120</f>
        <v>0</v>
      </c>
      <c r="I120" s="113">
        <f>I136+I73</f>
        <v>0</v>
      </c>
      <c r="J120" s="113">
        <f>J136+J73</f>
        <v>0</v>
      </c>
      <c r="K120" s="113">
        <f>K136+K73</f>
        <v>0</v>
      </c>
      <c r="L120" s="113">
        <f>L136+L73</f>
        <v>0</v>
      </c>
      <c r="M120" s="69">
        <f>L120</f>
        <v>0</v>
      </c>
    </row>
    <row r="121" spans="1:13" ht="12.75" hidden="1" customHeight="1" outlineLevel="2" x14ac:dyDescent="0.2">
      <c r="A121" s="114" t="str">
        <f>"   "&amp;Labels!B13</f>
        <v xml:space="preserve">   Average Capital</v>
      </c>
      <c r="B121" s="113"/>
      <c r="C121" s="69"/>
      <c r="D121" s="113">
        <f>'(Compute)'!B72+0.5*D120</f>
        <v>0</v>
      </c>
      <c r="E121" s="113">
        <f>'(Compute)'!C72+0.5*E120</f>
        <v>0</v>
      </c>
      <c r="F121" s="113">
        <f>'(Compute)'!D72+0.5*F120</f>
        <v>0</v>
      </c>
      <c r="G121" s="113">
        <f>'(Compute)'!E72+0.5*G120</f>
        <v>0</v>
      </c>
      <c r="H121" s="69">
        <f>AVERAGE(D121:G121)</f>
        <v>0</v>
      </c>
      <c r="I121" s="113">
        <f>'(Compute)'!G72+0.5*I120</f>
        <v>0</v>
      </c>
      <c r="J121" s="113">
        <f>'(Compute)'!H72+0.5*J120</f>
        <v>0</v>
      </c>
      <c r="K121" s="113">
        <f>'(Compute)'!I72+0.5*K120</f>
        <v>0</v>
      </c>
      <c r="L121" s="113">
        <f>'(Compute)'!J72+0.5*L120</f>
        <v>0</v>
      </c>
      <c r="M121" s="69">
        <f>AVERAGE(I121:L121)</f>
        <v>0</v>
      </c>
    </row>
    <row r="122" spans="1:13" ht="12.75" hidden="1" customHeight="1" outlineLevel="2" x14ac:dyDescent="0.2">
      <c r="A122" s="117" t="str">
        <f>Labels!B183</f>
        <v>Canoes</v>
      </c>
      <c r="B122" s="3"/>
      <c r="C122" s="117"/>
      <c r="D122" s="3"/>
      <c r="E122" s="3"/>
      <c r="F122" s="3"/>
      <c r="G122" s="3"/>
      <c r="H122" s="117"/>
      <c r="I122" s="3"/>
      <c r="J122" s="3"/>
      <c r="K122" s="3"/>
      <c r="L122" s="3"/>
      <c r="M122" s="117"/>
    </row>
    <row r="123" spans="1:13" ht="12.75" hidden="1" customHeight="1" outlineLevel="2" x14ac:dyDescent="0.2">
      <c r="A123" s="114" t="str">
        <f>"   "&amp;Labels!B7</f>
        <v xml:space="preserve">   Book Value</v>
      </c>
      <c r="B123" s="113">
        <f>B140+B77</f>
        <v>0</v>
      </c>
      <c r="C123" s="69">
        <f>B123</f>
        <v>0</v>
      </c>
      <c r="D123" s="113">
        <f>D140+D77</f>
        <v>0</v>
      </c>
      <c r="E123" s="113">
        <f>E140+E77</f>
        <v>0</v>
      </c>
      <c r="F123" s="113">
        <f>F140+F77</f>
        <v>0</v>
      </c>
      <c r="G123" s="113">
        <f>G140+G77</f>
        <v>0</v>
      </c>
      <c r="H123" s="69">
        <f>G123</f>
        <v>0</v>
      </c>
      <c r="I123" s="113">
        <f>I140+I77</f>
        <v>0</v>
      </c>
      <c r="J123" s="113">
        <f>J140+J77</f>
        <v>0</v>
      </c>
      <c r="K123" s="113">
        <f>K140+K77</f>
        <v>0</v>
      </c>
      <c r="L123" s="113">
        <f>L140+L77</f>
        <v>0</v>
      </c>
      <c r="M123" s="69">
        <f>L123</f>
        <v>0</v>
      </c>
    </row>
    <row r="124" spans="1:13" ht="12.75" hidden="1" customHeight="1" outlineLevel="2" x14ac:dyDescent="0.2">
      <c r="A124" s="114" t="str">
        <f>"   "&amp;Labels!B13</f>
        <v xml:space="preserve">   Average Capital</v>
      </c>
      <c r="B124" s="113"/>
      <c r="C124" s="69"/>
      <c r="D124" s="113">
        <f>'(Compute)'!B76+0.5*D123</f>
        <v>0</v>
      </c>
      <c r="E124" s="113">
        <f>'(Compute)'!C76+0.5*E123</f>
        <v>0</v>
      </c>
      <c r="F124" s="113">
        <f>'(Compute)'!D76+0.5*F123</f>
        <v>0</v>
      </c>
      <c r="G124" s="113">
        <f>'(Compute)'!E76+0.5*G123</f>
        <v>0</v>
      </c>
      <c r="H124" s="69">
        <f>AVERAGE(D124:G124)</f>
        <v>0</v>
      </c>
      <c r="I124" s="113">
        <f>'(Compute)'!G76+0.5*I123</f>
        <v>0</v>
      </c>
      <c r="J124" s="113">
        <f>'(Compute)'!H76+0.5*J123</f>
        <v>0</v>
      </c>
      <c r="K124" s="113">
        <f>'(Compute)'!I76+0.5*K123</f>
        <v>0</v>
      </c>
      <c r="L124" s="113">
        <f>'(Compute)'!J76+0.5*L123</f>
        <v>0</v>
      </c>
      <c r="M124" s="69">
        <f>AVERAGE(I124:L124)</f>
        <v>0</v>
      </c>
    </row>
    <row r="125" spans="1:13" ht="12.75" hidden="1" customHeight="1" outlineLevel="2" x14ac:dyDescent="0.2">
      <c r="A125" s="12" t="str">
        <f>Labels!C181</f>
        <v>Total</v>
      </c>
      <c r="B125" s="10"/>
      <c r="C125" s="12"/>
      <c r="D125" s="10"/>
      <c r="E125" s="10"/>
      <c r="F125" s="10"/>
      <c r="G125" s="10"/>
      <c r="H125" s="12"/>
      <c r="I125" s="10"/>
      <c r="J125" s="10"/>
      <c r="K125" s="10"/>
      <c r="L125" s="10"/>
      <c r="M125" s="12"/>
    </row>
    <row r="126" spans="1:13" ht="12.75" hidden="1" customHeight="1" outlineLevel="2" x14ac:dyDescent="0.2">
      <c r="A126" s="114" t="str">
        <f>"   "&amp;Labels!B7</f>
        <v xml:space="preserve">   Book Value</v>
      </c>
      <c r="B126" s="113">
        <f>SUM(B120,B123)</f>
        <v>0</v>
      </c>
      <c r="C126" s="69">
        <f>SUM(B120,B123)</f>
        <v>0</v>
      </c>
      <c r="D126" s="113">
        <f t="shared" ref="D126:G127" si="5">SUM(D120,D123)</f>
        <v>0</v>
      </c>
      <c r="E126" s="113">
        <f t="shared" si="5"/>
        <v>0</v>
      </c>
      <c r="F126" s="113">
        <f t="shared" si="5"/>
        <v>0</v>
      </c>
      <c r="G126" s="113">
        <f t="shared" si="5"/>
        <v>0</v>
      </c>
      <c r="H126" s="69">
        <f>SUM(G120,G123)</f>
        <v>0</v>
      </c>
      <c r="I126" s="113">
        <f t="shared" ref="I126:L127" si="6">SUM(I120,I123)</f>
        <v>0</v>
      </c>
      <c r="J126" s="113">
        <f t="shared" si="6"/>
        <v>0</v>
      </c>
      <c r="K126" s="113">
        <f t="shared" si="6"/>
        <v>0</v>
      </c>
      <c r="L126" s="113">
        <f t="shared" si="6"/>
        <v>0</v>
      </c>
      <c r="M126" s="69">
        <f>SUM(L120,L123)</f>
        <v>0</v>
      </c>
    </row>
    <row r="127" spans="1:13" ht="12.75" hidden="1" customHeight="1" outlineLevel="2" x14ac:dyDescent="0.2">
      <c r="A127" s="145" t="str">
        <f>"   "&amp;Labels!B13</f>
        <v xml:space="preserve">   Average Capital</v>
      </c>
      <c r="B127" s="123"/>
      <c r="C127" s="70"/>
      <c r="D127" s="123">
        <f t="shared" si="5"/>
        <v>0</v>
      </c>
      <c r="E127" s="123">
        <f t="shared" si="5"/>
        <v>0</v>
      </c>
      <c r="F127" s="123">
        <f t="shared" si="5"/>
        <v>0</v>
      </c>
      <c r="G127" s="123">
        <f t="shared" si="5"/>
        <v>0</v>
      </c>
      <c r="H127" s="70">
        <f>AVERAGE(D127:G127)</f>
        <v>0</v>
      </c>
      <c r="I127" s="123">
        <f t="shared" si="6"/>
        <v>0</v>
      </c>
      <c r="J127" s="123">
        <f t="shared" si="6"/>
        <v>0</v>
      </c>
      <c r="K127" s="123">
        <f t="shared" si="6"/>
        <v>0</v>
      </c>
      <c r="L127" s="123">
        <f t="shared" si="6"/>
        <v>0</v>
      </c>
      <c r="M127" s="70">
        <f>AVERAGE(I127:L127)</f>
        <v>0</v>
      </c>
    </row>
    <row r="128" spans="1:13" ht="12.75" hidden="1" customHeight="1" outlineLevel="2" collapsed="1" x14ac:dyDescent="0.2"/>
    <row r="129" spans="1:13" ht="12.75" hidden="1" customHeight="1" outlineLevel="1" collapsed="1" x14ac:dyDescent="0.2">
      <c r="A129" s="272" t="str">
        <f>"Book Value of Fixed Investment, by Asset"</f>
        <v>Book Value of Fixed Investment, by Asset</v>
      </c>
      <c r="B129" s="272"/>
      <c r="C129" s="272"/>
      <c r="D129" s="272"/>
    </row>
    <row r="130" spans="1:13" ht="12.75" hidden="1" customHeight="1" outlineLevel="2" x14ac:dyDescent="0.2">
      <c r="A130" s="272" t="str">
        <f>""</f>
        <v/>
      </c>
      <c r="B130" s="272"/>
      <c r="C130" s="272"/>
      <c r="D130" s="272"/>
    </row>
    <row r="131" spans="1:13" ht="12.75" hidden="1" customHeight="1" outlineLevel="2" x14ac:dyDescent="0.2">
      <c r="B131" s="17" t="str">
        <f>'(FnCalls 1)'!G6</f>
        <v>Q4 2010</v>
      </c>
      <c r="C131" s="62" t="str">
        <f>'(FnCalls 1)'!H4</f>
        <v>2010</v>
      </c>
      <c r="D131" s="18" t="str">
        <f>'(FnCalls 1)'!G7</f>
        <v>Q1 2011</v>
      </c>
      <c r="E131" s="18" t="str">
        <f>'(FnCalls 1)'!G8</f>
        <v>Q2 2011</v>
      </c>
      <c r="F131" s="18" t="str">
        <f>'(FnCalls 1)'!G9</f>
        <v>Q3 2011</v>
      </c>
      <c r="G131" s="18" t="str">
        <f>'(FnCalls 1)'!G10</f>
        <v>Q4 2011</v>
      </c>
      <c r="H131" s="62" t="str">
        <f>'(FnCalls 1)'!H7</f>
        <v>2011</v>
      </c>
      <c r="I131" s="18" t="str">
        <f>'(FnCalls 1)'!G11</f>
        <v>Q1 2012</v>
      </c>
      <c r="J131" s="18" t="str">
        <f>'(FnCalls 1)'!G12</f>
        <v>Q2 2012</v>
      </c>
      <c r="K131" s="18" t="str">
        <f>'(FnCalls 1)'!G13</f>
        <v>Q3 2012</v>
      </c>
      <c r="L131" s="18" t="str">
        <f>'(FnCalls 1)'!G14</f>
        <v>Q4 2012</v>
      </c>
      <c r="M131" s="62" t="str">
        <f>'(FnCalls 1)'!H11</f>
        <v>2012</v>
      </c>
    </row>
    <row r="132" spans="1:13" ht="12.75" hidden="1" customHeight="1" outlineLevel="2" x14ac:dyDescent="0.2">
      <c r="A132" s="111" t="str">
        <f>Labels!B9</f>
        <v>Book Value Fixed Invest</v>
      </c>
      <c r="B132" s="110"/>
      <c r="C132" s="75"/>
      <c r="D132" s="110"/>
      <c r="E132" s="110"/>
      <c r="F132" s="110"/>
      <c r="G132" s="110"/>
      <c r="H132" s="75"/>
      <c r="I132" s="110"/>
      <c r="J132" s="110"/>
      <c r="K132" s="110"/>
      <c r="L132" s="110"/>
      <c r="M132" s="75"/>
    </row>
    <row r="133" spans="1:13" ht="12.75" hidden="1" customHeight="1" outlineLevel="2" x14ac:dyDescent="0.2">
      <c r="A133" s="114" t="str">
        <f>"   "&amp;Labels!B182</f>
        <v xml:space="preserve">   Catamarans</v>
      </c>
      <c r="B133" s="113"/>
      <c r="C133" s="69"/>
      <c r="D133" s="113"/>
      <c r="E133" s="113"/>
      <c r="F133" s="113"/>
      <c r="G133" s="113"/>
      <c r="H133" s="69"/>
      <c r="I133" s="113"/>
      <c r="J133" s="113"/>
      <c r="K133" s="113"/>
      <c r="L133" s="113"/>
      <c r="M133" s="69"/>
    </row>
    <row r="134" spans="1:13" ht="12.75" hidden="1" customHeight="1" outlineLevel="2" x14ac:dyDescent="0.2">
      <c r="A134" s="144" t="str">
        <f>"      "&amp;Labels!B170</f>
        <v xml:space="preserve">      Invest 1</v>
      </c>
      <c r="B134" s="116">
        <f>0+IF(AND('(FnCalls 1)'!A6-C52&lt;=0,C52-('(FnCalls 1)'!A7-1)&lt;=0),E22,0)-IF('(Tables)'!B171=0,0,0)-IF(AND(INDEX('(Ranges)'!A13:J13,,MAX(1,'Plot Support'!B41-'(Tables)'!B184))-C52&lt;=0,C52-INDEX('(Ranges)'!A14:J14,,MAX(1,'Plot Support'!B41-'(Tables)'!B184))&lt;=0),H52,0)</f>
        <v>0</v>
      </c>
      <c r="C134" s="69">
        <f>B134</f>
        <v>0</v>
      </c>
      <c r="D134" s="116">
        <f>B134+IF(AND('(FnCalls 1)'!A7-C52&lt;=0,C52-('(FnCalls 1)'!A8-1)&lt;=0),E22,0)-IF('(Tables)'!D171=0,0,Operations!B172)-IF(AND(INDEX('(Ranges)'!A13:J13,,MAX(1,'Plot Support'!B43-'(Tables)'!B184))-C52&lt;=0,C52-INDEX('(Ranges)'!A14:J14,,MAX(1,'Plot Support'!B43-'(Tables)'!B184))&lt;=0),H52,0)</f>
        <v>0</v>
      </c>
      <c r="E134" s="116">
        <f>D134+IF(AND('(FnCalls 1)'!A8-C52&lt;=0,C52-('(FnCalls 1)'!A9-1)&lt;=0),E22,0)-IF('(Tables)'!E171=0,0,Operations!C172)-IF(AND(INDEX('(Ranges)'!A13:J13,,MAX(1,'Plot Support'!B44-'(Tables)'!B184))-C52&lt;=0,C52-INDEX('(Ranges)'!A14:J14,,MAX(1,'Plot Support'!B44-'(Tables)'!B184))&lt;=0),H52,0)</f>
        <v>0</v>
      </c>
      <c r="F134" s="116">
        <f>E134+IF(AND('(FnCalls 1)'!A9-C52&lt;=0,C52-('(FnCalls 1)'!A10-1)&lt;=0),E22,0)-IF('(Tables)'!F171=0,0,Operations!D172)-IF(AND(INDEX('(Ranges)'!A13:J13,,MAX(1,'Plot Support'!B45-'(Tables)'!B184))-C52&lt;=0,C52-INDEX('(Ranges)'!A14:J14,,MAX(1,'Plot Support'!B45-'(Tables)'!B184))&lt;=0),H52,0)</f>
        <v>0</v>
      </c>
      <c r="G134" s="116">
        <f>F134+IF(AND('(FnCalls 1)'!A10-C52&lt;=0,C52-('(FnCalls 1)'!A11-1)&lt;=0),E22,0)-IF('(Tables)'!G171=0,0,Operations!E172)-IF(AND(INDEX('(Ranges)'!A13:J13,,MAX(1,'Plot Support'!B46-'(Tables)'!B184))-C52&lt;=0,C52-INDEX('(Ranges)'!A14:J14,,MAX(1,'Plot Support'!B46-'(Tables)'!B184))&lt;=0),H52,0)</f>
        <v>0</v>
      </c>
      <c r="H134" s="69">
        <f>G134</f>
        <v>0</v>
      </c>
      <c r="I134" s="116">
        <f>G134+IF(AND('(FnCalls 1)'!A11-C52&lt;=0,C52-('(FnCalls 1)'!A12-1)&lt;=0),E22,0)-IF('(Tables)'!I171=0,0,Operations!G172)-IF(AND(INDEX('(Ranges)'!A13:J13,,MAX(1,'Plot Support'!B48-'(Tables)'!B184))-C52&lt;=0,C52-INDEX('(Ranges)'!A14:J14,,MAX(1,'Plot Support'!B48-'(Tables)'!B184))&lt;=0),H52,0)</f>
        <v>0</v>
      </c>
      <c r="J134" s="116">
        <f>I134+IF(AND('(FnCalls 1)'!A12-C52&lt;=0,C52-('(FnCalls 1)'!A13-1)&lt;=0),E22,0)-IF('(Tables)'!J171=0,0,Operations!H172)-IF(AND(INDEX('(Ranges)'!A13:J13,,MAX(1,'Plot Support'!B49-'(Tables)'!B184))-C52&lt;=0,C52-INDEX('(Ranges)'!A14:J14,,MAX(1,'Plot Support'!B49-'(Tables)'!B184))&lt;=0),H52,0)</f>
        <v>0</v>
      </c>
      <c r="K134" s="116">
        <f>J134+IF(AND('(FnCalls 1)'!A13-C52&lt;=0,C52-('(FnCalls 1)'!A14-1)&lt;=0),E22,0)-IF('(Tables)'!K171=0,0,Operations!I172)-IF(AND(INDEX('(Ranges)'!A13:J13,,MAX(1,'Plot Support'!B50-'(Tables)'!B184))-C52&lt;=0,C52-INDEX('(Ranges)'!A14:J14,,MAX(1,'Plot Support'!B50-'(Tables)'!B184))&lt;=0),H52,0)</f>
        <v>0</v>
      </c>
      <c r="L134" s="116">
        <f>K134+IF(AND('(FnCalls 1)'!A14-C52&lt;=0,C52-('(FnCalls 1)'!A15-1)&lt;=0),E22,0)-IF('(Tables)'!L171=0,0,Operations!J172)-IF(AND(INDEX('(Ranges)'!A13:J13,,MAX(1,'Plot Support'!B51-'(Tables)'!B184))-C52&lt;=0,C52-INDEX('(Ranges)'!A14:J14,,MAX(1,'Plot Support'!B51-'(Tables)'!B184))&lt;=0),H52,0)</f>
        <v>0</v>
      </c>
      <c r="M134" s="69">
        <f>L134</f>
        <v>0</v>
      </c>
    </row>
    <row r="135" spans="1:13" ht="12.75" hidden="1" customHeight="1" outlineLevel="2" x14ac:dyDescent="0.2">
      <c r="A135" s="144" t="str">
        <f>"      "&amp;Labels!B171</f>
        <v xml:space="preserve">      Invest 2</v>
      </c>
      <c r="B135" s="116">
        <f>0+IF(AND('(FnCalls 1)'!A6-C53&lt;=0,C53-('(FnCalls 1)'!A7-1)&lt;=0),E23,0)-IF('(Tables)'!B172=0,0,0)-IF(AND(INDEX('(Ranges)'!A13:J13,,MAX(1,'Plot Support'!B41-'(Tables)'!B185))-C53&lt;=0,C53-INDEX('(Ranges)'!A14:J14,,MAX(1,'Plot Support'!B41-'(Tables)'!B185))&lt;=0),H53,0)</f>
        <v>0</v>
      </c>
      <c r="C135" s="69">
        <f>B135</f>
        <v>0</v>
      </c>
      <c r="D135" s="116">
        <f>B135+IF(AND('(FnCalls 1)'!A7-C53&lt;=0,C53-('(FnCalls 1)'!A8-1)&lt;=0),E23,0)-IF('(Tables)'!D172=0,0,Operations!B173)-IF(AND(INDEX('(Ranges)'!A13:J13,,MAX(1,'Plot Support'!B43-'(Tables)'!B185))-C53&lt;=0,C53-INDEX('(Ranges)'!A14:J14,,MAX(1,'Plot Support'!B43-'(Tables)'!B185))&lt;=0),H53,0)</f>
        <v>0</v>
      </c>
      <c r="E135" s="116">
        <f>D135+IF(AND('(FnCalls 1)'!A8-C53&lt;=0,C53-('(FnCalls 1)'!A9-1)&lt;=0),E23,0)-IF('(Tables)'!E172=0,0,Operations!C173)-IF(AND(INDEX('(Ranges)'!A13:J13,,MAX(1,'Plot Support'!B44-'(Tables)'!B185))-C53&lt;=0,C53-INDEX('(Ranges)'!A14:J14,,MAX(1,'Plot Support'!B44-'(Tables)'!B185))&lt;=0),H53,0)</f>
        <v>0</v>
      </c>
      <c r="F135" s="116">
        <f>E135+IF(AND('(FnCalls 1)'!A9-C53&lt;=0,C53-('(FnCalls 1)'!A10-1)&lt;=0),E23,0)-IF('(Tables)'!F172=0,0,Operations!D173)-IF(AND(INDEX('(Ranges)'!A13:J13,,MAX(1,'Plot Support'!B45-'(Tables)'!B185))-C53&lt;=0,C53-INDEX('(Ranges)'!A14:J14,,MAX(1,'Plot Support'!B45-'(Tables)'!B185))&lt;=0),H53,0)</f>
        <v>0</v>
      </c>
      <c r="G135" s="116">
        <f>F135+IF(AND('(FnCalls 1)'!A10-C53&lt;=0,C53-('(FnCalls 1)'!A11-1)&lt;=0),E23,0)-IF('(Tables)'!G172=0,0,Operations!E173)-IF(AND(INDEX('(Ranges)'!A13:J13,,MAX(1,'Plot Support'!B46-'(Tables)'!B185))-C53&lt;=0,C53-INDEX('(Ranges)'!A14:J14,,MAX(1,'Plot Support'!B46-'(Tables)'!B185))&lt;=0),H53,0)</f>
        <v>0</v>
      </c>
      <c r="H135" s="69">
        <f>G135</f>
        <v>0</v>
      </c>
      <c r="I135" s="116">
        <f>G135+IF(AND('(FnCalls 1)'!A11-C53&lt;=0,C53-('(FnCalls 1)'!A12-1)&lt;=0),E23,0)-IF('(Tables)'!I172=0,0,Operations!G173)-IF(AND(INDEX('(Ranges)'!A13:J13,,MAX(1,'Plot Support'!B48-'(Tables)'!B185))-C53&lt;=0,C53-INDEX('(Ranges)'!A14:J14,,MAX(1,'Plot Support'!B48-'(Tables)'!B185))&lt;=0),H53,0)</f>
        <v>0</v>
      </c>
      <c r="J135" s="116">
        <f>I135+IF(AND('(FnCalls 1)'!A12-C53&lt;=0,C53-('(FnCalls 1)'!A13-1)&lt;=0),E23,0)-IF('(Tables)'!J172=0,0,Operations!H173)-IF(AND(INDEX('(Ranges)'!A13:J13,,MAX(1,'Plot Support'!B49-'(Tables)'!B185))-C53&lt;=0,C53-INDEX('(Ranges)'!A14:J14,,MAX(1,'Plot Support'!B49-'(Tables)'!B185))&lt;=0),H53,0)</f>
        <v>0</v>
      </c>
      <c r="K135" s="116">
        <f>J135+IF(AND('(FnCalls 1)'!A13-C53&lt;=0,C53-('(FnCalls 1)'!A14-1)&lt;=0),E23,0)-IF('(Tables)'!K172=0,0,Operations!I173)-IF(AND(INDEX('(Ranges)'!A13:J13,,MAX(1,'Plot Support'!B50-'(Tables)'!B185))-C53&lt;=0,C53-INDEX('(Ranges)'!A14:J14,,MAX(1,'Plot Support'!B50-'(Tables)'!B185))&lt;=0),H53,0)</f>
        <v>0</v>
      </c>
      <c r="L135" s="116">
        <f>K135+IF(AND('(FnCalls 1)'!A14-C53&lt;=0,C53-('(FnCalls 1)'!A15-1)&lt;=0),E23,0)-IF('(Tables)'!L172=0,0,Operations!J173)-IF(AND(INDEX('(Ranges)'!A13:J13,,MAX(1,'Plot Support'!B51-'(Tables)'!B185))-C53&lt;=0,C53-INDEX('(Ranges)'!A14:J14,,MAX(1,'Plot Support'!B51-'(Tables)'!B185))&lt;=0),H53,0)</f>
        <v>0</v>
      </c>
      <c r="M135" s="69">
        <f>L135</f>
        <v>0</v>
      </c>
    </row>
    <row r="136" spans="1:13" ht="12.75" hidden="1" customHeight="1" outlineLevel="2" x14ac:dyDescent="0.2">
      <c r="A136" s="114" t="str">
        <f>"      "&amp;Labels!C169</f>
        <v xml:space="preserve">      Total</v>
      </c>
      <c r="B136" s="113">
        <f>SUM(B134:B135)</f>
        <v>0</v>
      </c>
      <c r="C136" s="69">
        <f>SUM(B134:B135)</f>
        <v>0</v>
      </c>
      <c r="D136" s="113">
        <f>SUM(D134:D135)</f>
        <v>0</v>
      </c>
      <c r="E136" s="113">
        <f>SUM(E134:E135)</f>
        <v>0</v>
      </c>
      <c r="F136" s="113">
        <f>SUM(F134:F135)</f>
        <v>0</v>
      </c>
      <c r="G136" s="113">
        <f>SUM(G134:G135)</f>
        <v>0</v>
      </c>
      <c r="H136" s="69">
        <f>SUM(G134:G135)</f>
        <v>0</v>
      </c>
      <c r="I136" s="113">
        <f>SUM(I134:I135)</f>
        <v>0</v>
      </c>
      <c r="J136" s="113">
        <f>SUM(J134:J135)</f>
        <v>0</v>
      </c>
      <c r="K136" s="113">
        <f>SUM(K134:K135)</f>
        <v>0</v>
      </c>
      <c r="L136" s="113">
        <f>SUM(L134:L135)</f>
        <v>0</v>
      </c>
      <c r="M136" s="69">
        <f>SUM(L134:L135)</f>
        <v>0</v>
      </c>
    </row>
    <row r="137" spans="1:13" ht="12.75" hidden="1" customHeight="1" outlineLevel="2" x14ac:dyDescent="0.2">
      <c r="A137" s="114" t="str">
        <f>"   "&amp;Labels!B183</f>
        <v xml:space="preserve">   Canoes</v>
      </c>
      <c r="B137" s="113"/>
      <c r="C137" s="69"/>
      <c r="D137" s="113"/>
      <c r="E137" s="113"/>
      <c r="F137" s="113"/>
      <c r="G137" s="113"/>
      <c r="H137" s="69"/>
      <c r="I137" s="113"/>
      <c r="J137" s="113"/>
      <c r="K137" s="113"/>
      <c r="L137" s="113"/>
      <c r="M137" s="69"/>
    </row>
    <row r="138" spans="1:13" ht="12.75" hidden="1" customHeight="1" outlineLevel="2" x14ac:dyDescent="0.2">
      <c r="A138" s="144" t="str">
        <f>"      "&amp;Labels!B170</f>
        <v xml:space="preserve">      Invest 1</v>
      </c>
      <c r="B138" s="116">
        <f>0+IF(AND('(FnCalls 1)'!A6-C56&lt;=0,C56-('(FnCalls 1)'!A7-1)&lt;=0),E26,0)-IF('(Tables)'!B175=0,0,0)-IF(AND(INDEX('(Ranges)'!A13:J13,,MAX(1,'Plot Support'!B41-'(Tables)'!C184))-C56&lt;=0,C56-INDEX('(Ranges)'!A14:J14,,MAX(1,'Plot Support'!B41-'(Tables)'!C184))&lt;=0),H56,0)</f>
        <v>0</v>
      </c>
      <c r="C138" s="69">
        <f>B138</f>
        <v>0</v>
      </c>
      <c r="D138" s="116">
        <f>B138+IF(AND('(FnCalls 1)'!A7-C56&lt;=0,C56-('(FnCalls 1)'!A8-1)&lt;=0),E26,0)-IF('(Tables)'!D175=0,0,Operations!B176)-IF(AND(INDEX('(Ranges)'!A13:J13,,MAX(1,'Plot Support'!B43-'(Tables)'!C184))-C56&lt;=0,C56-INDEX('(Ranges)'!A14:J14,,MAX(1,'Plot Support'!B43-'(Tables)'!C184))&lt;=0),H56,0)</f>
        <v>0</v>
      </c>
      <c r="E138" s="116">
        <f>D138+IF(AND('(FnCalls 1)'!A8-C56&lt;=0,C56-('(FnCalls 1)'!A9-1)&lt;=0),E26,0)-IF('(Tables)'!E175=0,0,Operations!C176)-IF(AND(INDEX('(Ranges)'!A13:J13,,MAX(1,'Plot Support'!B44-'(Tables)'!C184))-C56&lt;=0,C56-INDEX('(Ranges)'!A14:J14,,MAX(1,'Plot Support'!B44-'(Tables)'!C184))&lt;=0),H56,0)</f>
        <v>0</v>
      </c>
      <c r="F138" s="116">
        <f>E138+IF(AND('(FnCalls 1)'!A9-C56&lt;=0,C56-('(FnCalls 1)'!A10-1)&lt;=0),E26,0)-IF('(Tables)'!F175=0,0,Operations!D176)-IF(AND(INDEX('(Ranges)'!A13:J13,,MAX(1,'Plot Support'!B45-'(Tables)'!C184))-C56&lt;=0,C56-INDEX('(Ranges)'!A14:J14,,MAX(1,'Plot Support'!B45-'(Tables)'!C184))&lt;=0),H56,0)</f>
        <v>0</v>
      </c>
      <c r="G138" s="116">
        <f>F138+IF(AND('(FnCalls 1)'!A10-C56&lt;=0,C56-('(FnCalls 1)'!A11-1)&lt;=0),E26,0)-IF('(Tables)'!G175=0,0,Operations!E176)-IF(AND(INDEX('(Ranges)'!A13:J13,,MAX(1,'Plot Support'!B46-'(Tables)'!C184))-C56&lt;=0,C56-INDEX('(Ranges)'!A14:J14,,MAX(1,'Plot Support'!B46-'(Tables)'!C184))&lt;=0),H56,0)</f>
        <v>0</v>
      </c>
      <c r="H138" s="69">
        <f>G138</f>
        <v>0</v>
      </c>
      <c r="I138" s="116">
        <f>G138+IF(AND('(FnCalls 1)'!A11-C56&lt;=0,C56-('(FnCalls 1)'!A12-1)&lt;=0),E26,0)-IF('(Tables)'!I175=0,0,Operations!G176)-IF(AND(INDEX('(Ranges)'!A13:J13,,MAX(1,'Plot Support'!B48-'(Tables)'!C184))-C56&lt;=0,C56-INDEX('(Ranges)'!A14:J14,,MAX(1,'Plot Support'!B48-'(Tables)'!C184))&lt;=0),H56,0)</f>
        <v>0</v>
      </c>
      <c r="J138" s="116">
        <f>I138+IF(AND('(FnCalls 1)'!A12-C56&lt;=0,C56-('(FnCalls 1)'!A13-1)&lt;=0),E26,0)-IF('(Tables)'!J175=0,0,Operations!H176)-IF(AND(INDEX('(Ranges)'!A13:J13,,MAX(1,'Plot Support'!B49-'(Tables)'!C184))-C56&lt;=0,C56-INDEX('(Ranges)'!A14:J14,,MAX(1,'Plot Support'!B49-'(Tables)'!C184))&lt;=0),H56,0)</f>
        <v>0</v>
      </c>
      <c r="K138" s="116">
        <f>J138+IF(AND('(FnCalls 1)'!A13-C56&lt;=0,C56-('(FnCalls 1)'!A14-1)&lt;=0),E26,0)-IF('(Tables)'!K175=0,0,Operations!I176)-IF(AND(INDEX('(Ranges)'!A13:J13,,MAX(1,'Plot Support'!B50-'(Tables)'!C184))-C56&lt;=0,C56-INDEX('(Ranges)'!A14:J14,,MAX(1,'Plot Support'!B50-'(Tables)'!C184))&lt;=0),H56,0)</f>
        <v>0</v>
      </c>
      <c r="L138" s="116">
        <f>K138+IF(AND('(FnCalls 1)'!A14-C56&lt;=0,C56-('(FnCalls 1)'!A15-1)&lt;=0),E26,0)-IF('(Tables)'!L175=0,0,Operations!J176)-IF(AND(INDEX('(Ranges)'!A13:J13,,MAX(1,'Plot Support'!B51-'(Tables)'!C184))-C56&lt;=0,C56-INDEX('(Ranges)'!A14:J14,,MAX(1,'Plot Support'!B51-'(Tables)'!C184))&lt;=0),H56,0)</f>
        <v>0</v>
      </c>
      <c r="M138" s="69">
        <f>L138</f>
        <v>0</v>
      </c>
    </row>
    <row r="139" spans="1:13" ht="12.75" hidden="1" customHeight="1" outlineLevel="2" x14ac:dyDescent="0.2">
      <c r="A139" s="144" t="str">
        <f>"      "&amp;Labels!B171</f>
        <v xml:space="preserve">      Invest 2</v>
      </c>
      <c r="B139" s="116">
        <f>0+IF(AND('(FnCalls 1)'!A6-C57&lt;=0,C57-('(FnCalls 1)'!A7-1)&lt;=0),E27,0)-IF('(Tables)'!B176=0,0,0)-IF(AND(INDEX('(Ranges)'!A13:J13,,MAX(1,'Plot Support'!B41-'(Tables)'!C185))-C57&lt;=0,C57-INDEX('(Ranges)'!A14:J14,,MAX(1,'Plot Support'!B41-'(Tables)'!C185))&lt;=0),H57,0)</f>
        <v>0</v>
      </c>
      <c r="C139" s="69">
        <f>B139</f>
        <v>0</v>
      </c>
      <c r="D139" s="116">
        <f>B139+IF(AND('(FnCalls 1)'!A7-C57&lt;=0,C57-('(FnCalls 1)'!A8-1)&lt;=0),E27,0)-IF('(Tables)'!D176=0,0,Operations!B177)-IF(AND(INDEX('(Ranges)'!A13:J13,,MAX(1,'Plot Support'!B43-'(Tables)'!C185))-C57&lt;=0,C57-INDEX('(Ranges)'!A14:J14,,MAX(1,'Plot Support'!B43-'(Tables)'!C185))&lt;=0),H57,0)</f>
        <v>0</v>
      </c>
      <c r="E139" s="116">
        <f>D139+IF(AND('(FnCalls 1)'!A8-C57&lt;=0,C57-('(FnCalls 1)'!A9-1)&lt;=0),E27,0)-IF('(Tables)'!E176=0,0,Operations!C177)-IF(AND(INDEX('(Ranges)'!A13:J13,,MAX(1,'Plot Support'!B44-'(Tables)'!C185))-C57&lt;=0,C57-INDEX('(Ranges)'!A14:J14,,MAX(1,'Plot Support'!B44-'(Tables)'!C185))&lt;=0),H57,0)</f>
        <v>0</v>
      </c>
      <c r="F139" s="116">
        <f>E139+IF(AND('(FnCalls 1)'!A9-C57&lt;=0,C57-('(FnCalls 1)'!A10-1)&lt;=0),E27,0)-IF('(Tables)'!F176=0,0,Operations!D177)-IF(AND(INDEX('(Ranges)'!A13:J13,,MAX(1,'Plot Support'!B45-'(Tables)'!C185))-C57&lt;=0,C57-INDEX('(Ranges)'!A14:J14,,MAX(1,'Plot Support'!B45-'(Tables)'!C185))&lt;=0),H57,0)</f>
        <v>0</v>
      </c>
      <c r="G139" s="116">
        <f>F139+IF(AND('(FnCalls 1)'!A10-C57&lt;=0,C57-('(FnCalls 1)'!A11-1)&lt;=0),E27,0)-IF('(Tables)'!G176=0,0,Operations!E177)-IF(AND(INDEX('(Ranges)'!A13:J13,,MAX(1,'Plot Support'!B46-'(Tables)'!C185))-C57&lt;=0,C57-INDEX('(Ranges)'!A14:J14,,MAX(1,'Plot Support'!B46-'(Tables)'!C185))&lt;=0),H57,0)</f>
        <v>0</v>
      </c>
      <c r="H139" s="69">
        <f>G139</f>
        <v>0</v>
      </c>
      <c r="I139" s="116">
        <f>G139+IF(AND('(FnCalls 1)'!A11-C57&lt;=0,C57-('(FnCalls 1)'!A12-1)&lt;=0),E27,0)-IF('(Tables)'!I176=0,0,Operations!G177)-IF(AND(INDEX('(Ranges)'!A13:J13,,MAX(1,'Plot Support'!B48-'(Tables)'!C185))-C57&lt;=0,C57-INDEX('(Ranges)'!A14:J14,,MAX(1,'Plot Support'!B48-'(Tables)'!C185))&lt;=0),H57,0)</f>
        <v>0</v>
      </c>
      <c r="J139" s="116">
        <f>I139+IF(AND('(FnCalls 1)'!A12-C57&lt;=0,C57-('(FnCalls 1)'!A13-1)&lt;=0),E27,0)-IF('(Tables)'!J176=0,0,Operations!H177)-IF(AND(INDEX('(Ranges)'!A13:J13,,MAX(1,'Plot Support'!B49-'(Tables)'!C185))-C57&lt;=0,C57-INDEX('(Ranges)'!A14:J14,,MAX(1,'Plot Support'!B49-'(Tables)'!C185))&lt;=0),H57,0)</f>
        <v>0</v>
      </c>
      <c r="K139" s="116">
        <f>J139+IF(AND('(FnCalls 1)'!A13-C57&lt;=0,C57-('(FnCalls 1)'!A14-1)&lt;=0),E27,0)-IF('(Tables)'!K176=0,0,Operations!I177)-IF(AND(INDEX('(Ranges)'!A13:J13,,MAX(1,'Plot Support'!B50-'(Tables)'!C185))-C57&lt;=0,C57-INDEX('(Ranges)'!A14:J14,,MAX(1,'Plot Support'!B50-'(Tables)'!C185))&lt;=0),H57,0)</f>
        <v>0</v>
      </c>
      <c r="L139" s="116">
        <f>K139+IF(AND('(FnCalls 1)'!A14-C57&lt;=0,C57-('(FnCalls 1)'!A15-1)&lt;=0),E27,0)-IF('(Tables)'!L176=0,0,Operations!J177)-IF(AND(INDEX('(Ranges)'!A13:J13,,MAX(1,'Plot Support'!B51-'(Tables)'!C185))-C57&lt;=0,C57-INDEX('(Ranges)'!A14:J14,,MAX(1,'Plot Support'!B51-'(Tables)'!C185))&lt;=0),H57,0)</f>
        <v>0</v>
      </c>
      <c r="M139" s="69">
        <f>L139</f>
        <v>0</v>
      </c>
    </row>
    <row r="140" spans="1:13" ht="12.75" hidden="1" customHeight="1" outlineLevel="2" x14ac:dyDescent="0.2">
      <c r="A140" s="114" t="str">
        <f>"      "&amp;Labels!C169</f>
        <v xml:space="preserve">      Total</v>
      </c>
      <c r="B140" s="113">
        <f>SUM(B138:B139)</f>
        <v>0</v>
      </c>
      <c r="C140" s="69">
        <f>SUM(B138:B139)</f>
        <v>0</v>
      </c>
      <c r="D140" s="113">
        <f>SUM(D138:D139)</f>
        <v>0</v>
      </c>
      <c r="E140" s="113">
        <f>SUM(E138:E139)</f>
        <v>0</v>
      </c>
      <c r="F140" s="113">
        <f>SUM(F138:F139)</f>
        <v>0</v>
      </c>
      <c r="G140" s="113">
        <f>SUM(G138:G139)</f>
        <v>0</v>
      </c>
      <c r="H140" s="69">
        <f>SUM(G138:G139)</f>
        <v>0</v>
      </c>
      <c r="I140" s="113">
        <f>SUM(I138:I139)</f>
        <v>0</v>
      </c>
      <c r="J140" s="113">
        <f>SUM(J138:J139)</f>
        <v>0</v>
      </c>
      <c r="K140" s="113">
        <f>SUM(K138:K139)</f>
        <v>0</v>
      </c>
      <c r="L140" s="113">
        <f>SUM(L138:L139)</f>
        <v>0</v>
      </c>
      <c r="M140" s="69">
        <f>SUM(L138:L139)</f>
        <v>0</v>
      </c>
    </row>
    <row r="141" spans="1:13" ht="12.75" hidden="1" customHeight="1" outlineLevel="2" x14ac:dyDescent="0.2">
      <c r="A141" s="117" t="str">
        <f>"   "&amp;Labels!C181</f>
        <v xml:space="preserve">   Total</v>
      </c>
      <c r="B141" s="120">
        <f>SUM(B136,B140)</f>
        <v>0</v>
      </c>
      <c r="C141" s="69">
        <f>SUM(B136,B140)</f>
        <v>0</v>
      </c>
      <c r="D141" s="120">
        <f>SUM(D136,D140)</f>
        <v>0</v>
      </c>
      <c r="E141" s="120">
        <f>SUM(E136,E140)</f>
        <v>0</v>
      </c>
      <c r="F141" s="120">
        <f>SUM(F136,F140)</f>
        <v>0</v>
      </c>
      <c r="G141" s="120">
        <f>SUM(G136,G140)</f>
        <v>0</v>
      </c>
      <c r="H141" s="69">
        <f>SUM(G136,G140)</f>
        <v>0</v>
      </c>
      <c r="I141" s="120">
        <f>SUM(I136,I140)</f>
        <v>0</v>
      </c>
      <c r="J141" s="120">
        <f>SUM(J136,J140)</f>
        <v>0</v>
      </c>
      <c r="K141" s="120">
        <f>SUM(K136,K140)</f>
        <v>0</v>
      </c>
      <c r="L141" s="120">
        <f>SUM(L136,L140)</f>
        <v>0</v>
      </c>
      <c r="M141" s="69">
        <f>SUM(L136,L140)</f>
        <v>0</v>
      </c>
    </row>
    <row r="142" spans="1:13" ht="12.75" hidden="1" customHeight="1" outlineLevel="2" x14ac:dyDescent="0.2">
      <c r="A142" s="144" t="str">
        <f>"      "&amp;Labels!B170</f>
        <v xml:space="preserve">      Invest 1</v>
      </c>
      <c r="B142" s="116">
        <f>SUM(B134,B138)</f>
        <v>0</v>
      </c>
      <c r="C142" s="69">
        <f>SUM(B134,B138)</f>
        <v>0</v>
      </c>
      <c r="D142" s="116">
        <f t="shared" ref="D142:G144" si="7">SUM(D134,D138)</f>
        <v>0</v>
      </c>
      <c r="E142" s="116">
        <f t="shared" si="7"/>
        <v>0</v>
      </c>
      <c r="F142" s="116">
        <f t="shared" si="7"/>
        <v>0</v>
      </c>
      <c r="G142" s="116">
        <f t="shared" si="7"/>
        <v>0</v>
      </c>
      <c r="H142" s="69">
        <f>SUM(G134,G138)</f>
        <v>0</v>
      </c>
      <c r="I142" s="116">
        <f t="shared" ref="I142:L144" si="8">SUM(I134,I138)</f>
        <v>0</v>
      </c>
      <c r="J142" s="116">
        <f t="shared" si="8"/>
        <v>0</v>
      </c>
      <c r="K142" s="116">
        <f t="shared" si="8"/>
        <v>0</v>
      </c>
      <c r="L142" s="116">
        <f t="shared" si="8"/>
        <v>0</v>
      </c>
      <c r="M142" s="69">
        <f>SUM(L134,L138)</f>
        <v>0</v>
      </c>
    </row>
    <row r="143" spans="1:13" ht="12.75" hidden="1" customHeight="1" outlineLevel="2" x14ac:dyDescent="0.2">
      <c r="A143" s="144" t="str">
        <f>"      "&amp;Labels!B171</f>
        <v xml:space="preserve">      Invest 2</v>
      </c>
      <c r="B143" s="116">
        <f>SUM(B135,B139)</f>
        <v>0</v>
      </c>
      <c r="C143" s="69">
        <f>SUM(B135,B139)</f>
        <v>0</v>
      </c>
      <c r="D143" s="116">
        <f t="shared" si="7"/>
        <v>0</v>
      </c>
      <c r="E143" s="116">
        <f t="shared" si="7"/>
        <v>0</v>
      </c>
      <c r="F143" s="116">
        <f t="shared" si="7"/>
        <v>0</v>
      </c>
      <c r="G143" s="116">
        <f t="shared" si="7"/>
        <v>0</v>
      </c>
      <c r="H143" s="69">
        <f>SUM(G135,G139)</f>
        <v>0</v>
      </c>
      <c r="I143" s="116">
        <f t="shared" si="8"/>
        <v>0</v>
      </c>
      <c r="J143" s="116">
        <f t="shared" si="8"/>
        <v>0</v>
      </c>
      <c r="K143" s="116">
        <f t="shared" si="8"/>
        <v>0</v>
      </c>
      <c r="L143" s="116">
        <f t="shared" si="8"/>
        <v>0</v>
      </c>
      <c r="M143" s="69">
        <f>SUM(L135,L139)</f>
        <v>0</v>
      </c>
    </row>
    <row r="144" spans="1:13" ht="12.75" hidden="1" customHeight="1" outlineLevel="2" x14ac:dyDescent="0.2">
      <c r="A144" s="114" t="str">
        <f>"      "&amp;Labels!C169</f>
        <v xml:space="preserve">      Total</v>
      </c>
      <c r="B144" s="113">
        <f>SUM(B136,B140)</f>
        <v>0</v>
      </c>
      <c r="C144" s="69">
        <f>SUM(B136,B140)</f>
        <v>0</v>
      </c>
      <c r="D144" s="113">
        <f t="shared" si="7"/>
        <v>0</v>
      </c>
      <c r="E144" s="113">
        <f t="shared" si="7"/>
        <v>0</v>
      </c>
      <c r="F144" s="113">
        <f t="shared" si="7"/>
        <v>0</v>
      </c>
      <c r="G144" s="113">
        <f t="shared" si="7"/>
        <v>0</v>
      </c>
      <c r="H144" s="69">
        <f>SUM(G136,G140)</f>
        <v>0</v>
      </c>
      <c r="I144" s="113">
        <f t="shared" si="8"/>
        <v>0</v>
      </c>
      <c r="J144" s="113">
        <f t="shared" si="8"/>
        <v>0</v>
      </c>
      <c r="K144" s="113">
        <f t="shared" si="8"/>
        <v>0</v>
      </c>
      <c r="L144" s="113">
        <f t="shared" si="8"/>
        <v>0</v>
      </c>
      <c r="M144" s="69">
        <f>SUM(L136,L140)</f>
        <v>0</v>
      </c>
    </row>
    <row r="145" spans="1:13" ht="12.75" hidden="1" customHeight="1" outlineLevel="2" x14ac:dyDescent="0.2">
      <c r="A145" s="12"/>
      <c r="B145" s="10"/>
      <c r="C145" s="12"/>
      <c r="D145" s="10"/>
      <c r="E145" s="10"/>
      <c r="F145" s="10"/>
      <c r="G145" s="10"/>
      <c r="H145" s="12"/>
      <c r="I145" s="10"/>
      <c r="J145" s="10"/>
      <c r="K145" s="10"/>
      <c r="L145" s="10"/>
      <c r="M145" s="12"/>
    </row>
    <row r="146" spans="1:13" ht="12.75" hidden="1" customHeight="1" outlineLevel="2" x14ac:dyDescent="0.2">
      <c r="A146" s="117" t="str">
        <f>Labels!B35</f>
        <v>Depreciation</v>
      </c>
      <c r="B146" s="120"/>
      <c r="C146" s="69"/>
      <c r="D146" s="120"/>
      <c r="E146" s="120"/>
      <c r="F146" s="120"/>
      <c r="G146" s="120"/>
      <c r="H146" s="69"/>
      <c r="I146" s="120"/>
      <c r="J146" s="120"/>
      <c r="K146" s="120"/>
      <c r="L146" s="120"/>
      <c r="M146" s="69"/>
    </row>
    <row r="147" spans="1:13" ht="12.75" hidden="1" customHeight="1" outlineLevel="2" x14ac:dyDescent="0.2">
      <c r="A147" s="114" t="str">
        <f>"   "&amp;Labels!B182</f>
        <v xml:space="preserve">   Catamarans</v>
      </c>
      <c r="B147" s="113"/>
      <c r="C147" s="69"/>
      <c r="D147" s="113"/>
      <c r="E147" s="113"/>
      <c r="F147" s="113"/>
      <c r="G147" s="113"/>
      <c r="H147" s="69"/>
      <c r="I147" s="113"/>
      <c r="J147" s="113"/>
      <c r="K147" s="113"/>
      <c r="L147" s="113"/>
      <c r="M147" s="69"/>
    </row>
    <row r="148" spans="1:13" ht="12.75" hidden="1" customHeight="1" outlineLevel="2" x14ac:dyDescent="0.2">
      <c r="A148" s="144" t="str">
        <f>"      "&amp;Labels!B170</f>
        <v xml:space="preserve">      Invest 1</v>
      </c>
      <c r="B148" s="116"/>
      <c r="C148" s="69"/>
      <c r="D148" s="116">
        <f>IF('(Tables)'!D171&gt;0,IF(E52="Linear",SLN(C22,Inputs!F24,'(Tables)'!B184),IF(E52="SYD",SYD(C22,Inputs!F24,'(Tables)'!D171,'(Tables)'!B184),DDB(C22,Inputs!F24,'(Tables)'!D171,'(Tables)'!B184-1))),0)</f>
        <v>0</v>
      </c>
      <c r="E148" s="116">
        <f>IF('(Tables)'!E171&gt;0,IF(E52="Linear",SLN(C22,Inputs!F24,'(Tables)'!B184),IF(E52="SYD",SYD(C22,Inputs!F24,'(Tables)'!E171,'(Tables)'!B184),DDB(C22,Inputs!F24,'(Tables)'!E171,'(Tables)'!B184-1))),0)</f>
        <v>0</v>
      </c>
      <c r="F148" s="116">
        <f>IF('(Tables)'!F171&gt;0,IF(E52="Linear",SLN(C22,Inputs!F24,'(Tables)'!B184),IF(E52="SYD",SYD(C22,Inputs!F24,'(Tables)'!F171,'(Tables)'!B184),DDB(C22,Inputs!F24,'(Tables)'!F171,'(Tables)'!B184-1))),0)</f>
        <v>0</v>
      </c>
      <c r="G148" s="116">
        <f>IF('(Tables)'!G171&gt;0,IF(E52="Linear",SLN(C22,Inputs!F24,'(Tables)'!B184),IF(E52="SYD",SYD(C22,Inputs!F24,'(Tables)'!G171,'(Tables)'!B184),DDB(C22,Inputs!F24,'(Tables)'!G171,'(Tables)'!B184-1))),0)</f>
        <v>0</v>
      </c>
      <c r="H148" s="69">
        <f>SUM(D148:G148)</f>
        <v>0</v>
      </c>
      <c r="I148" s="116">
        <f>IF('(Tables)'!I171&gt;0,IF(E52="Linear",SLN(C22,Inputs!F24,'(Tables)'!B184),IF(E52="SYD",SYD(C22,Inputs!F24,'(Tables)'!I171,'(Tables)'!B184),DDB(C22,Inputs!F24,'(Tables)'!I171,'(Tables)'!B184-1))),0)</f>
        <v>0</v>
      </c>
      <c r="J148" s="116">
        <f>IF('(Tables)'!J171&gt;0,IF(E52="Linear",SLN(C22,Inputs!F24,'(Tables)'!B184),IF(E52="SYD",SYD(C22,Inputs!F24,'(Tables)'!J171,'(Tables)'!B184),DDB(C22,Inputs!F24,'(Tables)'!J171,'(Tables)'!B184-1))),0)</f>
        <v>0</v>
      </c>
      <c r="K148" s="116">
        <f>IF('(Tables)'!K171&gt;0,IF(E52="Linear",SLN(C22,Inputs!F24,'(Tables)'!B184),IF(E52="SYD",SYD(C22,Inputs!F24,'(Tables)'!K171,'(Tables)'!B184),DDB(C22,Inputs!F24,'(Tables)'!K171,'(Tables)'!B184-1))),0)</f>
        <v>0</v>
      </c>
      <c r="L148" s="116">
        <f>IF('(Tables)'!L171&gt;0,IF(E52="Linear",SLN(C22,Inputs!F24,'(Tables)'!B184),IF(E52="SYD",SYD(C22,Inputs!F24,'(Tables)'!L171,'(Tables)'!B184),DDB(C22,Inputs!F24,'(Tables)'!L171,'(Tables)'!B184-1))),0)</f>
        <v>0</v>
      </c>
      <c r="M148" s="69">
        <f>SUM(I148:L148)</f>
        <v>0</v>
      </c>
    </row>
    <row r="149" spans="1:13" ht="12.75" hidden="1" customHeight="1" outlineLevel="2" x14ac:dyDescent="0.2">
      <c r="A149" s="144" t="str">
        <f>"      "&amp;Labels!B171</f>
        <v xml:space="preserve">      Invest 2</v>
      </c>
      <c r="B149" s="116"/>
      <c r="C149" s="69"/>
      <c r="D149" s="116">
        <f>IF('(Tables)'!D172&gt;0,IF(E53="Linear",SLN(C23,Inputs!F25,'(Tables)'!B185),IF(E53="SYD",SYD(C23,Inputs!F25,'(Tables)'!D172,'(Tables)'!B185),DDB(C23,Inputs!F25,'(Tables)'!D172,'(Tables)'!B185-1))),0)</f>
        <v>0</v>
      </c>
      <c r="E149" s="116">
        <f>IF('(Tables)'!E172&gt;0,IF(E53="Linear",SLN(C23,Inputs!F25,'(Tables)'!B185),IF(E53="SYD",SYD(C23,Inputs!F25,'(Tables)'!E172,'(Tables)'!B185),DDB(C23,Inputs!F25,'(Tables)'!E172,'(Tables)'!B185-1))),0)</f>
        <v>0</v>
      </c>
      <c r="F149" s="116">
        <f>IF('(Tables)'!F172&gt;0,IF(E53="Linear",SLN(C23,Inputs!F25,'(Tables)'!B185),IF(E53="SYD",SYD(C23,Inputs!F25,'(Tables)'!F172,'(Tables)'!B185),DDB(C23,Inputs!F25,'(Tables)'!F172,'(Tables)'!B185-1))),0)</f>
        <v>0</v>
      </c>
      <c r="G149" s="116">
        <f>IF('(Tables)'!G172&gt;0,IF(E53="Linear",SLN(C23,Inputs!F25,'(Tables)'!B185),IF(E53="SYD",SYD(C23,Inputs!F25,'(Tables)'!G172,'(Tables)'!B185),DDB(C23,Inputs!F25,'(Tables)'!G172,'(Tables)'!B185-1))),0)</f>
        <v>0</v>
      </c>
      <c r="H149" s="69">
        <f>SUM(D149:G149)</f>
        <v>0</v>
      </c>
      <c r="I149" s="116">
        <f>IF('(Tables)'!I172&gt;0,IF(E53="Linear",SLN(C23,Inputs!F25,'(Tables)'!B185),IF(E53="SYD",SYD(C23,Inputs!F25,'(Tables)'!I172,'(Tables)'!B185),DDB(C23,Inputs!F25,'(Tables)'!I172,'(Tables)'!B185-1))),0)</f>
        <v>0</v>
      </c>
      <c r="J149" s="116">
        <f>IF('(Tables)'!J172&gt;0,IF(E53="Linear",SLN(C23,Inputs!F25,'(Tables)'!B185),IF(E53="SYD",SYD(C23,Inputs!F25,'(Tables)'!J172,'(Tables)'!B185),DDB(C23,Inputs!F25,'(Tables)'!J172,'(Tables)'!B185-1))),0)</f>
        <v>0</v>
      </c>
      <c r="K149" s="116">
        <f>IF('(Tables)'!K172&gt;0,IF(E53="Linear",SLN(C23,Inputs!F25,'(Tables)'!B185),IF(E53="SYD",SYD(C23,Inputs!F25,'(Tables)'!K172,'(Tables)'!B185),DDB(C23,Inputs!F25,'(Tables)'!K172,'(Tables)'!B185-1))),0)</f>
        <v>0</v>
      </c>
      <c r="L149" s="116">
        <f>IF('(Tables)'!L172&gt;0,IF(E53="Linear",SLN(C23,Inputs!F25,'(Tables)'!B185),IF(E53="SYD",SYD(C23,Inputs!F25,'(Tables)'!L172,'(Tables)'!B185),DDB(C23,Inputs!F25,'(Tables)'!L172,'(Tables)'!B185-1))),0)</f>
        <v>0</v>
      </c>
      <c r="M149" s="69">
        <f>SUM(I149:L149)</f>
        <v>0</v>
      </c>
    </row>
    <row r="150" spans="1:13" ht="12.75" hidden="1" customHeight="1" outlineLevel="2" x14ac:dyDescent="0.2">
      <c r="A150" s="114" t="str">
        <f>"      "&amp;Labels!C169</f>
        <v xml:space="preserve">      Total</v>
      </c>
      <c r="B150" s="113"/>
      <c r="C150" s="69"/>
      <c r="D150" s="113">
        <f>SUM(D148:D149)</f>
        <v>0</v>
      </c>
      <c r="E150" s="113">
        <f>SUM(E148:E149)</f>
        <v>0</v>
      </c>
      <c r="F150" s="113">
        <f>SUM(F148:F149)</f>
        <v>0</v>
      </c>
      <c r="G150" s="113">
        <f>SUM(G148:G149)</f>
        <v>0</v>
      </c>
      <c r="H150" s="69">
        <f>SUM(D150:G150)</f>
        <v>0</v>
      </c>
      <c r="I150" s="113">
        <f>SUM(I148:I149)</f>
        <v>0</v>
      </c>
      <c r="J150" s="113">
        <f>SUM(J148:J149)</f>
        <v>0</v>
      </c>
      <c r="K150" s="113">
        <f>SUM(K148:K149)</f>
        <v>0</v>
      </c>
      <c r="L150" s="113">
        <f>SUM(L148:L149)</f>
        <v>0</v>
      </c>
      <c r="M150" s="69">
        <f>SUM(I150:L150)</f>
        <v>0</v>
      </c>
    </row>
    <row r="151" spans="1:13" ht="12.75" hidden="1" customHeight="1" outlineLevel="2" x14ac:dyDescent="0.2">
      <c r="A151" s="114" t="str">
        <f>"   "&amp;Labels!B183</f>
        <v xml:space="preserve">   Canoes</v>
      </c>
      <c r="B151" s="113"/>
      <c r="C151" s="69"/>
      <c r="D151" s="113"/>
      <c r="E151" s="113"/>
      <c r="F151" s="113"/>
      <c r="G151" s="113"/>
      <c r="H151" s="69"/>
      <c r="I151" s="113"/>
      <c r="J151" s="113"/>
      <c r="K151" s="113"/>
      <c r="L151" s="113"/>
      <c r="M151" s="69"/>
    </row>
    <row r="152" spans="1:13" ht="12.75" hidden="1" customHeight="1" outlineLevel="2" x14ac:dyDescent="0.2">
      <c r="A152" s="144" t="str">
        <f>"      "&amp;Labels!B170</f>
        <v xml:space="preserve">      Invest 1</v>
      </c>
      <c r="B152" s="116"/>
      <c r="C152" s="69"/>
      <c r="D152" s="116">
        <f>IF('(Tables)'!D175&gt;0,IF(E56="Linear",SLN(C26,Inputs!F26,'(Tables)'!C184),IF(E56="SYD",SYD(C26,Inputs!F26,'(Tables)'!D175,'(Tables)'!C184),DDB(C26,Inputs!F26,'(Tables)'!D175,'(Tables)'!C184-1))),0)</f>
        <v>0</v>
      </c>
      <c r="E152" s="116">
        <f>IF('(Tables)'!E175&gt;0,IF(E56="Linear",SLN(C26,Inputs!F26,'(Tables)'!C184),IF(E56="SYD",SYD(C26,Inputs!F26,'(Tables)'!E175,'(Tables)'!C184),DDB(C26,Inputs!F26,'(Tables)'!E175,'(Tables)'!C184-1))),0)</f>
        <v>0</v>
      </c>
      <c r="F152" s="116">
        <f>IF('(Tables)'!F175&gt;0,IF(E56="Linear",SLN(C26,Inputs!F26,'(Tables)'!C184),IF(E56="SYD",SYD(C26,Inputs!F26,'(Tables)'!F175,'(Tables)'!C184),DDB(C26,Inputs!F26,'(Tables)'!F175,'(Tables)'!C184-1))),0)</f>
        <v>0</v>
      </c>
      <c r="G152" s="116">
        <f>IF('(Tables)'!G175&gt;0,IF(E56="Linear",SLN(C26,Inputs!F26,'(Tables)'!C184),IF(E56="SYD",SYD(C26,Inputs!F26,'(Tables)'!G175,'(Tables)'!C184),DDB(C26,Inputs!F26,'(Tables)'!G175,'(Tables)'!C184-1))),0)</f>
        <v>0</v>
      </c>
      <c r="H152" s="69">
        <f t="shared" ref="H152:H157" si="9">SUM(D152:G152)</f>
        <v>0</v>
      </c>
      <c r="I152" s="116">
        <f>IF('(Tables)'!I175&gt;0,IF(E56="Linear",SLN(C26,Inputs!F26,'(Tables)'!C184),IF(E56="SYD",SYD(C26,Inputs!F26,'(Tables)'!I175,'(Tables)'!C184),DDB(C26,Inputs!F26,'(Tables)'!I175,'(Tables)'!C184-1))),0)</f>
        <v>0</v>
      </c>
      <c r="J152" s="116">
        <f>IF('(Tables)'!J175&gt;0,IF(E56="Linear",SLN(C26,Inputs!F26,'(Tables)'!C184),IF(E56="SYD",SYD(C26,Inputs!F26,'(Tables)'!J175,'(Tables)'!C184),DDB(C26,Inputs!F26,'(Tables)'!J175,'(Tables)'!C184-1))),0)</f>
        <v>0</v>
      </c>
      <c r="K152" s="116">
        <f>IF('(Tables)'!K175&gt;0,IF(E56="Linear",SLN(C26,Inputs!F26,'(Tables)'!C184),IF(E56="SYD",SYD(C26,Inputs!F26,'(Tables)'!K175,'(Tables)'!C184),DDB(C26,Inputs!F26,'(Tables)'!K175,'(Tables)'!C184-1))),0)</f>
        <v>0</v>
      </c>
      <c r="L152" s="116">
        <f>IF('(Tables)'!L175&gt;0,IF(E56="Linear",SLN(C26,Inputs!F26,'(Tables)'!C184),IF(E56="SYD",SYD(C26,Inputs!F26,'(Tables)'!L175,'(Tables)'!C184),DDB(C26,Inputs!F26,'(Tables)'!L175,'(Tables)'!C184-1))),0)</f>
        <v>0</v>
      </c>
      <c r="M152" s="69">
        <f t="shared" ref="M152:M157" si="10">SUM(I152:L152)</f>
        <v>0</v>
      </c>
    </row>
    <row r="153" spans="1:13" ht="12.75" hidden="1" customHeight="1" outlineLevel="2" x14ac:dyDescent="0.2">
      <c r="A153" s="144" t="str">
        <f>"      "&amp;Labels!B171</f>
        <v xml:space="preserve">      Invest 2</v>
      </c>
      <c r="B153" s="116"/>
      <c r="C153" s="69"/>
      <c r="D153" s="116">
        <f>IF('(Tables)'!D176&gt;0,IF(E57="Linear",SLN(C27,Inputs!F27,'(Tables)'!C185),IF(E57="SYD",SYD(C27,Inputs!F27,'(Tables)'!D176,'(Tables)'!C185),DDB(C27,Inputs!F27,'(Tables)'!D176,'(Tables)'!C185-1))),0)</f>
        <v>0</v>
      </c>
      <c r="E153" s="116">
        <f>IF('(Tables)'!E176&gt;0,IF(E57="Linear",SLN(C27,Inputs!F27,'(Tables)'!C185),IF(E57="SYD",SYD(C27,Inputs!F27,'(Tables)'!E176,'(Tables)'!C185),DDB(C27,Inputs!F27,'(Tables)'!E176,'(Tables)'!C185-1))),0)</f>
        <v>0</v>
      </c>
      <c r="F153" s="116">
        <f>IF('(Tables)'!F176&gt;0,IF(E57="Linear",SLN(C27,Inputs!F27,'(Tables)'!C185),IF(E57="SYD",SYD(C27,Inputs!F27,'(Tables)'!F176,'(Tables)'!C185),DDB(C27,Inputs!F27,'(Tables)'!F176,'(Tables)'!C185-1))),0)</f>
        <v>0</v>
      </c>
      <c r="G153" s="116">
        <f>IF('(Tables)'!G176&gt;0,IF(E57="Linear",SLN(C27,Inputs!F27,'(Tables)'!C185),IF(E57="SYD",SYD(C27,Inputs!F27,'(Tables)'!G176,'(Tables)'!C185),DDB(C27,Inputs!F27,'(Tables)'!G176,'(Tables)'!C185-1))),0)</f>
        <v>0</v>
      </c>
      <c r="H153" s="69">
        <f t="shared" si="9"/>
        <v>0</v>
      </c>
      <c r="I153" s="116">
        <f>IF('(Tables)'!I176&gt;0,IF(E57="Linear",SLN(C27,Inputs!F27,'(Tables)'!C185),IF(E57="SYD",SYD(C27,Inputs!F27,'(Tables)'!I176,'(Tables)'!C185),DDB(C27,Inputs!F27,'(Tables)'!I176,'(Tables)'!C185-1))),0)</f>
        <v>0</v>
      </c>
      <c r="J153" s="116">
        <f>IF('(Tables)'!J176&gt;0,IF(E57="Linear",SLN(C27,Inputs!F27,'(Tables)'!C185),IF(E57="SYD",SYD(C27,Inputs!F27,'(Tables)'!J176,'(Tables)'!C185),DDB(C27,Inputs!F27,'(Tables)'!J176,'(Tables)'!C185-1))),0)</f>
        <v>0</v>
      </c>
      <c r="K153" s="116">
        <f>IF('(Tables)'!K176&gt;0,IF(E57="Linear",SLN(C27,Inputs!F27,'(Tables)'!C185),IF(E57="SYD",SYD(C27,Inputs!F27,'(Tables)'!K176,'(Tables)'!C185),DDB(C27,Inputs!F27,'(Tables)'!K176,'(Tables)'!C185-1))),0)</f>
        <v>0</v>
      </c>
      <c r="L153" s="116">
        <f>IF('(Tables)'!L176&gt;0,IF(E57="Linear",SLN(C27,Inputs!F27,'(Tables)'!C185),IF(E57="SYD",SYD(C27,Inputs!F27,'(Tables)'!L176,'(Tables)'!C185),DDB(C27,Inputs!F27,'(Tables)'!L176,'(Tables)'!C185-1))),0)</f>
        <v>0</v>
      </c>
      <c r="M153" s="69">
        <f t="shared" si="10"/>
        <v>0</v>
      </c>
    </row>
    <row r="154" spans="1:13" ht="12.75" hidden="1" customHeight="1" outlineLevel="2" x14ac:dyDescent="0.2">
      <c r="A154" s="114" t="str">
        <f>"      "&amp;Labels!C169</f>
        <v xml:space="preserve">      Total</v>
      </c>
      <c r="B154" s="113"/>
      <c r="C154" s="69"/>
      <c r="D154" s="113">
        <f>SUM(D152:D153)</f>
        <v>0</v>
      </c>
      <c r="E154" s="113">
        <f>SUM(E152:E153)</f>
        <v>0</v>
      </c>
      <c r="F154" s="113">
        <f>SUM(F152:F153)</f>
        <v>0</v>
      </c>
      <c r="G154" s="113">
        <f>SUM(G152:G153)</f>
        <v>0</v>
      </c>
      <c r="H154" s="69">
        <f t="shared" si="9"/>
        <v>0</v>
      </c>
      <c r="I154" s="113">
        <f>SUM(I152:I153)</f>
        <v>0</v>
      </c>
      <c r="J154" s="113">
        <f>SUM(J152:J153)</f>
        <v>0</v>
      </c>
      <c r="K154" s="113">
        <f>SUM(K152:K153)</f>
        <v>0</v>
      </c>
      <c r="L154" s="113">
        <f>SUM(L152:L153)</f>
        <v>0</v>
      </c>
      <c r="M154" s="69">
        <f t="shared" si="10"/>
        <v>0</v>
      </c>
    </row>
    <row r="155" spans="1:13" ht="12.75" hidden="1" customHeight="1" outlineLevel="2" x14ac:dyDescent="0.2">
      <c r="A155" s="117" t="str">
        <f>"   "&amp;Labels!C181</f>
        <v xml:space="preserve">   Total</v>
      </c>
      <c r="B155" s="120"/>
      <c r="C155" s="69"/>
      <c r="D155" s="120">
        <f>SUM(D150,D154)</f>
        <v>0</v>
      </c>
      <c r="E155" s="120">
        <f>SUM(E150,E154)</f>
        <v>0</v>
      </c>
      <c r="F155" s="120">
        <f>SUM(F150,F154)</f>
        <v>0</v>
      </c>
      <c r="G155" s="120">
        <f>SUM(G150,G154)</f>
        <v>0</v>
      </c>
      <c r="H155" s="69">
        <f t="shared" si="9"/>
        <v>0</v>
      </c>
      <c r="I155" s="120">
        <f>SUM(I150,I154)</f>
        <v>0</v>
      </c>
      <c r="J155" s="120">
        <f>SUM(J150,J154)</f>
        <v>0</v>
      </c>
      <c r="K155" s="120">
        <f>SUM(K150,K154)</f>
        <v>0</v>
      </c>
      <c r="L155" s="120">
        <f>SUM(L150,L154)</f>
        <v>0</v>
      </c>
      <c r="M155" s="69">
        <f t="shared" si="10"/>
        <v>0</v>
      </c>
    </row>
    <row r="156" spans="1:13" ht="12.75" hidden="1" customHeight="1" outlineLevel="2" x14ac:dyDescent="0.2">
      <c r="A156" s="144" t="str">
        <f>"      "&amp;Labels!B170</f>
        <v xml:space="preserve">      Invest 1</v>
      </c>
      <c r="B156" s="116"/>
      <c r="C156" s="69"/>
      <c r="D156" s="116">
        <f t="shared" ref="D156:G158" si="11">SUM(D148,D152)</f>
        <v>0</v>
      </c>
      <c r="E156" s="116">
        <f t="shared" si="11"/>
        <v>0</v>
      </c>
      <c r="F156" s="116">
        <f t="shared" si="11"/>
        <v>0</v>
      </c>
      <c r="G156" s="116">
        <f t="shared" si="11"/>
        <v>0</v>
      </c>
      <c r="H156" s="69">
        <f t="shared" si="9"/>
        <v>0</v>
      </c>
      <c r="I156" s="116">
        <f t="shared" ref="I156:L158" si="12">SUM(I148,I152)</f>
        <v>0</v>
      </c>
      <c r="J156" s="116">
        <f t="shared" si="12"/>
        <v>0</v>
      </c>
      <c r="K156" s="116">
        <f t="shared" si="12"/>
        <v>0</v>
      </c>
      <c r="L156" s="116">
        <f t="shared" si="12"/>
        <v>0</v>
      </c>
      <c r="M156" s="69">
        <f t="shared" si="10"/>
        <v>0</v>
      </c>
    </row>
    <row r="157" spans="1:13" ht="12.75" hidden="1" customHeight="1" outlineLevel="2" x14ac:dyDescent="0.2">
      <c r="A157" s="144" t="str">
        <f>"      "&amp;Labels!B171</f>
        <v xml:space="preserve">      Invest 2</v>
      </c>
      <c r="B157" s="116"/>
      <c r="C157" s="69"/>
      <c r="D157" s="116">
        <f t="shared" si="11"/>
        <v>0</v>
      </c>
      <c r="E157" s="116">
        <f t="shared" si="11"/>
        <v>0</v>
      </c>
      <c r="F157" s="116">
        <f t="shared" si="11"/>
        <v>0</v>
      </c>
      <c r="G157" s="116">
        <f t="shared" si="11"/>
        <v>0</v>
      </c>
      <c r="H157" s="69">
        <f t="shared" si="9"/>
        <v>0</v>
      </c>
      <c r="I157" s="116">
        <f t="shared" si="12"/>
        <v>0</v>
      </c>
      <c r="J157" s="116">
        <f t="shared" si="12"/>
        <v>0</v>
      </c>
      <c r="K157" s="116">
        <f t="shared" si="12"/>
        <v>0</v>
      </c>
      <c r="L157" s="116">
        <f t="shared" si="12"/>
        <v>0</v>
      </c>
      <c r="M157" s="69">
        <f t="shared" si="10"/>
        <v>0</v>
      </c>
    </row>
    <row r="158" spans="1:13" ht="12.75" hidden="1" customHeight="1" outlineLevel="2" x14ac:dyDescent="0.2">
      <c r="A158" s="145" t="str">
        <f>"      "&amp;Labels!C169</f>
        <v xml:space="preserve">      Total</v>
      </c>
      <c r="B158" s="123"/>
      <c r="C158" s="70"/>
      <c r="D158" s="123">
        <f t="shared" si="11"/>
        <v>0</v>
      </c>
      <c r="E158" s="123">
        <f t="shared" si="11"/>
        <v>0</v>
      </c>
      <c r="F158" s="123">
        <f t="shared" si="11"/>
        <v>0</v>
      </c>
      <c r="G158" s="123">
        <f t="shared" si="11"/>
        <v>0</v>
      </c>
      <c r="H158" s="70">
        <f>SUM(D155:G155)</f>
        <v>0</v>
      </c>
      <c r="I158" s="123">
        <f t="shared" si="12"/>
        <v>0</v>
      </c>
      <c r="J158" s="123">
        <f t="shared" si="12"/>
        <v>0</v>
      </c>
      <c r="K158" s="123">
        <f t="shared" si="12"/>
        <v>0</v>
      </c>
      <c r="L158" s="123">
        <f t="shared" si="12"/>
        <v>0</v>
      </c>
      <c r="M158" s="70">
        <f>SUM(I155:L155)</f>
        <v>0</v>
      </c>
    </row>
    <row r="159" spans="1:13" ht="12.75" hidden="1" customHeight="1" outlineLevel="2" collapsed="1" x14ac:dyDescent="0.2"/>
    <row r="160" spans="1:13" ht="12.75" hidden="1" customHeight="1" outlineLevel="1" collapsed="1" x14ac:dyDescent="0.2">
      <c r="A160" t="s">
        <v>841</v>
      </c>
      <c r="B160" t="s">
        <v>841</v>
      </c>
      <c r="C160" t="s">
        <v>841</v>
      </c>
      <c r="D160" t="s">
        <v>841</v>
      </c>
      <c r="E160" t="s">
        <v>841</v>
      </c>
      <c r="F160" t="s">
        <v>841</v>
      </c>
      <c r="G160" t="s">
        <v>841</v>
      </c>
      <c r="H160" t="s">
        <v>841</v>
      </c>
      <c r="I160" t="s">
        <v>841</v>
      </c>
      <c r="J160" t="s">
        <v>841</v>
      </c>
      <c r="K160" t="s">
        <v>841</v>
      </c>
      <c r="L160" t="s">
        <v>841</v>
      </c>
      <c r="M160" t="s">
        <v>841</v>
      </c>
    </row>
    <row r="161" ht="12.75" customHeight="1" collapsed="1" x14ac:dyDescent="0.2"/>
  </sheetData>
  <mergeCells count="14">
    <mergeCell ref="A129:D129"/>
    <mergeCell ref="A130:D130"/>
    <mergeCell ref="A18:B18"/>
    <mergeCell ref="A49:B49"/>
    <mergeCell ref="A66:B66"/>
    <mergeCell ref="A67:B67"/>
    <mergeCell ref="A116:C116"/>
    <mergeCell ref="A117:C117"/>
    <mergeCell ref="A6:B6"/>
    <mergeCell ref="A1:D1"/>
    <mergeCell ref="A2:D2"/>
    <mergeCell ref="A3:D3"/>
    <mergeCell ref="A4:D4"/>
    <mergeCell ref="A5:B5"/>
  </mergeCells>
  <pageMargins left="0.25" right="0.25" top="0.5" bottom="0.5" header="0.5" footer="0.5"/>
  <pageSetup paperSize="9" fitToHeight="32767" orientation="landscape"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K198"/>
  <sheetViews>
    <sheetView zoomScaleNormal="100" workbookViewId="0"/>
  </sheetViews>
  <sheetFormatPr defaultRowHeight="12.75" customHeight="1" outlineLevelRow="1" x14ac:dyDescent="0.2"/>
  <cols>
    <col min="1" max="1" width="26" customWidth="1"/>
    <col min="2" max="11" width="16" customWidth="1"/>
  </cols>
  <sheetData>
    <row r="1" spans="1:11" ht="12.75" customHeight="1" x14ac:dyDescent="0.2">
      <c r="A1" s="270" t="str">
        <f>Inputs!E7</f>
        <v>ModelSheet Software</v>
      </c>
      <c r="B1" s="270"/>
      <c r="C1" s="270"/>
      <c r="D1" s="270"/>
    </row>
    <row r="2" spans="1:11" ht="12.75" customHeight="1" x14ac:dyDescent="0.2">
      <c r="A2" s="270" t="str">
        <f>Inputs!E9</f>
        <v>Project Test</v>
      </c>
      <c r="B2" s="270"/>
      <c r="C2" s="270"/>
      <c r="D2" s="270"/>
    </row>
    <row r="3" spans="1:11" ht="12.75" customHeight="1" x14ac:dyDescent="0.2">
      <c r="A3" s="270" t="str">
        <f>"Operations"</f>
        <v>Operations</v>
      </c>
      <c r="B3" s="270"/>
      <c r="C3" s="270"/>
      <c r="D3" s="270"/>
    </row>
    <row r="4" spans="1:11" ht="12.75" customHeight="1" x14ac:dyDescent="0.2">
      <c r="A4" s="270" t="str">
        <f>" "</f>
        <v xml:space="preserve"> </v>
      </c>
      <c r="B4" s="270"/>
      <c r="C4" s="270"/>
      <c r="D4" s="270"/>
    </row>
    <row r="5" spans="1:11" ht="12.75" customHeight="1" x14ac:dyDescent="0.2">
      <c r="A5" s="271" t="str">
        <f>"Statement of Operations - Summary"</f>
        <v>Statement of Operations - Summary</v>
      </c>
      <c r="B5" s="271"/>
      <c r="C5" s="271"/>
    </row>
    <row r="6" spans="1:11" ht="12.75" customHeight="1" x14ac:dyDescent="0.2">
      <c r="A6" s="271" t="str">
        <f>""</f>
        <v/>
      </c>
      <c r="B6" s="271"/>
      <c r="C6" s="271"/>
    </row>
    <row r="7" spans="1:11" ht="12.75" customHeight="1" x14ac:dyDescent="0.2">
      <c r="B7" s="17" t="str">
        <f>'(FnCalls 1)'!G7</f>
        <v>Q1 2011</v>
      </c>
      <c r="C7" s="18" t="str">
        <f>'(FnCalls 1)'!G8</f>
        <v>Q2 2011</v>
      </c>
      <c r="D7" s="18" t="str">
        <f>'(FnCalls 1)'!G9</f>
        <v>Q3 2011</v>
      </c>
      <c r="E7" s="18" t="str">
        <f>'(FnCalls 1)'!G10</f>
        <v>Q4 2011</v>
      </c>
      <c r="F7" s="62" t="str">
        <f>'(FnCalls 1)'!H7</f>
        <v>2011</v>
      </c>
      <c r="G7" s="18" t="str">
        <f>'(FnCalls 1)'!G11</f>
        <v>Q1 2012</v>
      </c>
      <c r="H7" s="18" t="str">
        <f>'(FnCalls 1)'!G12</f>
        <v>Q2 2012</v>
      </c>
      <c r="I7" s="18" t="str">
        <f>'(FnCalls 1)'!G13</f>
        <v>Q3 2012</v>
      </c>
      <c r="J7" s="18" t="str">
        <f>'(FnCalls 1)'!G14</f>
        <v>Q4 2012</v>
      </c>
      <c r="K7" s="62" t="str">
        <f>'(FnCalls 1)'!H11</f>
        <v>2012</v>
      </c>
    </row>
    <row r="8" spans="1:11" ht="12.75" customHeight="1" x14ac:dyDescent="0.2">
      <c r="A8" s="12" t="str">
        <f>Labels!B98</f>
        <v>Revenue</v>
      </c>
      <c r="B8" s="107">
        <f>SUM(B31:B32)</f>
        <v>0</v>
      </c>
      <c r="C8" s="107">
        <f>SUM(C31:C32)</f>
        <v>0</v>
      </c>
      <c r="D8" s="107">
        <f>SUM(D31:D32)</f>
        <v>0</v>
      </c>
      <c r="E8" s="107">
        <f>SUM(E31:E32)</f>
        <v>0</v>
      </c>
      <c r="F8" s="108">
        <f>SUM(B8:E8)</f>
        <v>0</v>
      </c>
      <c r="G8" s="107">
        <f>SUM(G31:G32)</f>
        <v>0</v>
      </c>
      <c r="H8" s="107">
        <f>SUM(H31:H32)</f>
        <v>0</v>
      </c>
      <c r="I8" s="107">
        <f>SUM(I31:I32)</f>
        <v>0</v>
      </c>
      <c r="J8" s="107">
        <f>SUM(J31:J32)</f>
        <v>0</v>
      </c>
      <c r="K8" s="108">
        <f>SUM(G8:J8)</f>
        <v>0</v>
      </c>
    </row>
    <row r="10" spans="1:11" ht="12.75" customHeight="1" x14ac:dyDescent="0.2">
      <c r="A10" s="12" t="str">
        <f>Labels!B47</f>
        <v>EBITDA</v>
      </c>
      <c r="B10" s="107">
        <f>SUM(B46:B47)</f>
        <v>0</v>
      </c>
      <c r="C10" s="107">
        <f>SUM(C46:C47)</f>
        <v>0</v>
      </c>
      <c r="D10" s="107">
        <f>SUM(D46:D47)</f>
        <v>0</v>
      </c>
      <c r="E10" s="107">
        <f>SUM(E46:E47)</f>
        <v>0</v>
      </c>
      <c r="F10" s="108">
        <f>SUM(B10:E10)</f>
        <v>0</v>
      </c>
      <c r="G10" s="107">
        <f>SUM(G46:G47)</f>
        <v>0</v>
      </c>
      <c r="H10" s="107">
        <f>SUM(H46:H47)</f>
        <v>0</v>
      </c>
      <c r="I10" s="107">
        <f>SUM(I46:I47)</f>
        <v>0</v>
      </c>
      <c r="J10" s="107">
        <f>SUM(J46:J47)</f>
        <v>0</v>
      </c>
      <c r="K10" s="108">
        <f>SUM(G10:J10)</f>
        <v>0</v>
      </c>
    </row>
    <row r="12" spans="1:11" ht="12.75" customHeight="1" x14ac:dyDescent="0.2">
      <c r="A12" s="111" t="str">
        <f>Labels!B34</f>
        <v>Depreciation</v>
      </c>
      <c r="B12" s="110">
        <f>SUM(B51:B52)</f>
        <v>0</v>
      </c>
      <c r="C12" s="110">
        <f>SUM(C51:C52)</f>
        <v>0</v>
      </c>
      <c r="D12" s="110">
        <f>SUM(D51:D52)</f>
        <v>0</v>
      </c>
      <c r="E12" s="110">
        <f>SUM(E51:E52)</f>
        <v>0</v>
      </c>
      <c r="F12" s="75">
        <f>SUM(B12:E12)</f>
        <v>0</v>
      </c>
      <c r="G12" s="110">
        <f>SUM(G51:G52)</f>
        <v>0</v>
      </c>
      <c r="H12" s="110">
        <f>SUM(H51:H52)</f>
        <v>0</v>
      </c>
      <c r="I12" s="110">
        <f>SUM(I51:I52)</f>
        <v>0</v>
      </c>
      <c r="J12" s="110">
        <f>SUM(J51:J52)</f>
        <v>0</v>
      </c>
      <c r="K12" s="75">
        <f>SUM(G12:J12)</f>
        <v>0</v>
      </c>
    </row>
    <row r="13" spans="1:11" ht="12.75" customHeight="1" x14ac:dyDescent="0.2">
      <c r="A13" s="121" t="str">
        <f>Labels!B126</f>
        <v>Working Capital Amort</v>
      </c>
      <c r="B13" s="132">
        <f>SUM(B56:B57)</f>
        <v>0</v>
      </c>
      <c r="C13" s="132">
        <f>SUM(C56:C57)</f>
        <v>0</v>
      </c>
      <c r="D13" s="132">
        <f>SUM(D56:D57)</f>
        <v>0</v>
      </c>
      <c r="E13" s="132">
        <f>SUM(E56:E57)</f>
        <v>0</v>
      </c>
      <c r="F13" s="70">
        <f>SUM(B13:E13)</f>
        <v>0</v>
      </c>
      <c r="G13" s="132">
        <f>SUM(G56:G57)</f>
        <v>0</v>
      </c>
      <c r="H13" s="132">
        <f>SUM(H56:H57)</f>
        <v>0</v>
      </c>
      <c r="I13" s="132">
        <f>SUM(I56:I57)</f>
        <v>0</v>
      </c>
      <c r="J13" s="132">
        <f>SUM(J56:J57)</f>
        <v>0</v>
      </c>
      <c r="K13" s="70">
        <f>SUM(G13:J13)</f>
        <v>0</v>
      </c>
    </row>
    <row r="15" spans="1:11" ht="12.75" customHeight="1" x14ac:dyDescent="0.2">
      <c r="A15" s="12" t="str">
        <f>Labels!B45</f>
        <v>EBIT</v>
      </c>
      <c r="B15" s="107">
        <f>SUM(B61:B62)</f>
        <v>0</v>
      </c>
      <c r="C15" s="107">
        <f>SUM(C61:C62)</f>
        <v>0</v>
      </c>
      <c r="D15" s="107">
        <f>SUM(D61:D62)</f>
        <v>0</v>
      </c>
      <c r="E15" s="107">
        <f>SUM(E61:E62)</f>
        <v>0</v>
      </c>
      <c r="F15" s="108">
        <f>SUM(B15:E15)</f>
        <v>0</v>
      </c>
      <c r="G15" s="107">
        <f>SUM(G61:G62)</f>
        <v>0</v>
      </c>
      <c r="H15" s="107">
        <f>SUM(H61:H62)</f>
        <v>0</v>
      </c>
      <c r="I15" s="107">
        <f>SUM(I61:I62)</f>
        <v>0</v>
      </c>
      <c r="J15" s="107">
        <f>SUM(J61:J62)</f>
        <v>0</v>
      </c>
      <c r="K15" s="108">
        <f>SUM(G15:J15)</f>
        <v>0</v>
      </c>
    </row>
    <row r="17" spans="1:11" ht="12.75" customHeight="1" x14ac:dyDescent="0.2">
      <c r="A17" s="111" t="str">
        <f>Labels!B55</f>
        <v>Financial Exp &amp; Tax</v>
      </c>
      <c r="B17" s="110"/>
      <c r="C17" s="110"/>
      <c r="D17" s="110"/>
      <c r="E17" s="110"/>
      <c r="F17" s="75"/>
      <c r="G17" s="110"/>
      <c r="H17" s="110"/>
      <c r="I17" s="110"/>
      <c r="J17" s="110"/>
      <c r="K17" s="75"/>
    </row>
    <row r="18" spans="1:11" ht="12.75" customHeight="1" x14ac:dyDescent="0.2">
      <c r="A18" s="114" t="str">
        <f>"   "&amp;Labels!B152</f>
        <v xml:space="preserve">   Interest</v>
      </c>
      <c r="B18" s="113">
        <f>SUM(B67:B68)</f>
        <v>0</v>
      </c>
      <c r="C18" s="113">
        <f>SUM(C67:C68)</f>
        <v>0</v>
      </c>
      <c r="D18" s="113">
        <f>SUM(D67:D68)</f>
        <v>0</v>
      </c>
      <c r="E18" s="113">
        <f>SUM(E67:E68)</f>
        <v>0</v>
      </c>
      <c r="F18" s="69">
        <f>SUM(B18:E18)</f>
        <v>0</v>
      </c>
      <c r="G18" s="113">
        <f>SUM(G67:G68)</f>
        <v>0</v>
      </c>
      <c r="H18" s="113">
        <f>SUM(H67:H68)</f>
        <v>0</v>
      </c>
      <c r="I18" s="113">
        <f>SUM(I67:I68)</f>
        <v>0</v>
      </c>
      <c r="J18" s="113">
        <f>SUM(J67:J68)</f>
        <v>0</v>
      </c>
      <c r="K18" s="69">
        <f>SUM(G18:J18)</f>
        <v>0</v>
      </c>
    </row>
    <row r="19" spans="1:11" ht="12.75" customHeight="1" x14ac:dyDescent="0.2">
      <c r="A19" s="114" t="str">
        <f>"   "&amp;Labels!B153</f>
        <v xml:space="preserve">   Lease Exp</v>
      </c>
      <c r="B19" s="113">
        <f>SUM(B71:B72)</f>
        <v>0</v>
      </c>
      <c r="C19" s="113">
        <f>SUM(C71:C72)</f>
        <v>0</v>
      </c>
      <c r="D19" s="113">
        <f>SUM(D71:D72)</f>
        <v>0</v>
      </c>
      <c r="E19" s="113">
        <f>SUM(E71:E72)</f>
        <v>0</v>
      </c>
      <c r="F19" s="69">
        <f>SUM(B19:E19)</f>
        <v>0</v>
      </c>
      <c r="G19" s="113">
        <f>SUM(G71:G72)</f>
        <v>0</v>
      </c>
      <c r="H19" s="113">
        <f>SUM(H71:H72)</f>
        <v>0</v>
      </c>
      <c r="I19" s="113">
        <f>SUM(I71:I72)</f>
        <v>0</v>
      </c>
      <c r="J19" s="113">
        <f>SUM(J71:J72)</f>
        <v>0</v>
      </c>
      <c r="K19" s="69">
        <f>SUM(G19:J19)</f>
        <v>0</v>
      </c>
    </row>
    <row r="20" spans="1:11" ht="12.75" customHeight="1" x14ac:dyDescent="0.2">
      <c r="A20" s="114" t="str">
        <f>"   "&amp;Labels!B154</f>
        <v xml:space="preserve">   Income Tax</v>
      </c>
      <c r="B20" s="113">
        <f>SUM(B75:B76)</f>
        <v>0</v>
      </c>
      <c r="C20" s="113">
        <f>SUM(C75:C76)</f>
        <v>0</v>
      </c>
      <c r="D20" s="113">
        <f>SUM(D75:D76)</f>
        <v>0</v>
      </c>
      <c r="E20" s="113">
        <f>SUM(E75:E76)</f>
        <v>0</v>
      </c>
      <c r="F20" s="69">
        <f>SUM(B20:E20)</f>
        <v>0</v>
      </c>
      <c r="G20" s="113">
        <f>SUM(G75:G76)</f>
        <v>0</v>
      </c>
      <c r="H20" s="113">
        <f>SUM(H75:H76)</f>
        <v>0</v>
      </c>
      <c r="I20" s="113">
        <f>SUM(I75:I76)</f>
        <v>0</v>
      </c>
      <c r="J20" s="113">
        <f>SUM(J75:J76)</f>
        <v>0</v>
      </c>
      <c r="K20" s="69">
        <f>SUM(G20:J20)</f>
        <v>0</v>
      </c>
    </row>
    <row r="21" spans="1:11" ht="12.75" customHeight="1" x14ac:dyDescent="0.2">
      <c r="A21" s="117" t="str">
        <f>"   "&amp;Labels!C151</f>
        <v xml:space="preserve">   Total</v>
      </c>
      <c r="B21" s="120">
        <f>SUM(B18:B20)</f>
        <v>0</v>
      </c>
      <c r="C21" s="120">
        <f>SUM(C18:C20)</f>
        <v>0</v>
      </c>
      <c r="D21" s="120">
        <f>SUM(D18:D20)</f>
        <v>0</v>
      </c>
      <c r="E21" s="120">
        <f>SUM(E18:E20)</f>
        <v>0</v>
      </c>
      <c r="F21" s="69">
        <f>SUM(B21:E21)</f>
        <v>0</v>
      </c>
      <c r="G21" s="120">
        <f>SUM(G18:G20)</f>
        <v>0</v>
      </c>
      <c r="H21" s="120">
        <f>SUM(H18:H20)</f>
        <v>0</v>
      </c>
      <c r="I21" s="120">
        <f>SUM(I18:I20)</f>
        <v>0</v>
      </c>
      <c r="J21" s="120">
        <f>SUM(J18:J20)</f>
        <v>0</v>
      </c>
      <c r="K21" s="69">
        <f>SUM(G21:J21)</f>
        <v>0</v>
      </c>
    </row>
    <row r="22" spans="1:11" ht="12.75" customHeight="1" x14ac:dyDescent="0.2">
      <c r="A22" s="12"/>
      <c r="B22" s="10"/>
      <c r="C22" s="10"/>
      <c r="D22" s="10"/>
      <c r="E22" s="10"/>
      <c r="F22" s="12"/>
      <c r="G22" s="10"/>
      <c r="H22" s="10"/>
      <c r="I22" s="10"/>
      <c r="J22" s="10"/>
      <c r="K22" s="12"/>
    </row>
    <row r="23" spans="1:11" ht="12.75" customHeight="1" x14ac:dyDescent="0.2">
      <c r="A23" s="121" t="str">
        <f>Labels!B90</f>
        <v>Net Income</v>
      </c>
      <c r="B23" s="132">
        <f>SUM(B84:B85)</f>
        <v>0</v>
      </c>
      <c r="C23" s="132">
        <f>SUM(C84:C85)</f>
        <v>0</v>
      </c>
      <c r="D23" s="132">
        <f>SUM(D84:D85)</f>
        <v>0</v>
      </c>
      <c r="E23" s="132">
        <f>SUM(E84:E85)</f>
        <v>0</v>
      </c>
      <c r="F23" s="70">
        <f>SUM(B23:E23)</f>
        <v>0</v>
      </c>
      <c r="G23" s="132">
        <f>SUM(G84:G85)</f>
        <v>0</v>
      </c>
      <c r="H23" s="132">
        <f>SUM(H84:H85)</f>
        <v>0</v>
      </c>
      <c r="I23" s="132">
        <f>SUM(I84:I85)</f>
        <v>0</v>
      </c>
      <c r="J23" s="132">
        <f>SUM(J84:J85)</f>
        <v>0</v>
      </c>
      <c r="K23" s="70">
        <f>SUM(G23:J23)</f>
        <v>0</v>
      </c>
    </row>
    <row r="27" spans="1:11" ht="12.75" customHeight="1" x14ac:dyDescent="0.2">
      <c r="A27" s="271" t="str">
        <f>"Statement of Operations by Subproject"</f>
        <v>Statement of Operations by Subproject</v>
      </c>
      <c r="B27" s="271"/>
      <c r="C27" s="271"/>
      <c r="D27" s="271"/>
    </row>
    <row r="28" spans="1:11" ht="12.75" hidden="1" customHeight="1" outlineLevel="1" x14ac:dyDescent="0.2">
      <c r="A28" s="271" t="str">
        <f>""</f>
        <v/>
      </c>
      <c r="B28" s="271"/>
      <c r="C28" s="271"/>
      <c r="D28" s="271"/>
    </row>
    <row r="29" spans="1:11" ht="12.75" hidden="1" customHeight="1" outlineLevel="1" x14ac:dyDescent="0.2">
      <c r="B29" s="17" t="str">
        <f>'(FnCalls 1)'!G7</f>
        <v>Q1 2011</v>
      </c>
      <c r="C29" s="18" t="str">
        <f>'(FnCalls 1)'!G8</f>
        <v>Q2 2011</v>
      </c>
      <c r="D29" s="18" t="str">
        <f>'(FnCalls 1)'!G9</f>
        <v>Q3 2011</v>
      </c>
      <c r="E29" s="18" t="str">
        <f>'(FnCalls 1)'!G10</f>
        <v>Q4 2011</v>
      </c>
      <c r="F29" s="62" t="str">
        <f>'(FnCalls 1)'!H7</f>
        <v>2011</v>
      </c>
      <c r="G29" s="18" t="str">
        <f>'(FnCalls 1)'!G11</f>
        <v>Q1 2012</v>
      </c>
      <c r="H29" s="18" t="str">
        <f>'(FnCalls 1)'!G12</f>
        <v>Q2 2012</v>
      </c>
      <c r="I29" s="18" t="str">
        <f>'(FnCalls 1)'!G13</f>
        <v>Q3 2012</v>
      </c>
      <c r="J29" s="18" t="str">
        <f>'(FnCalls 1)'!G14</f>
        <v>Q4 2012</v>
      </c>
      <c r="K29" s="62" t="str">
        <f>'(FnCalls 1)'!H11</f>
        <v>2012</v>
      </c>
    </row>
    <row r="30" spans="1:11" ht="12.75" hidden="1" customHeight="1" outlineLevel="1" x14ac:dyDescent="0.2">
      <c r="A30" s="111" t="str">
        <f>Labels!B98</f>
        <v>Revenue</v>
      </c>
      <c r="B30" s="110"/>
      <c r="C30" s="110"/>
      <c r="D30" s="110"/>
      <c r="E30" s="110"/>
      <c r="F30" s="75"/>
      <c r="G30" s="110"/>
      <c r="H30" s="110"/>
      <c r="I30" s="110"/>
      <c r="J30" s="110"/>
      <c r="K30" s="75"/>
    </row>
    <row r="31" spans="1:11" ht="12.75" hidden="1" customHeight="1" outlineLevel="1" x14ac:dyDescent="0.2">
      <c r="A31" s="114" t="str">
        <f>"   "&amp;Labels!B182</f>
        <v xml:space="preserve">   Catamarans</v>
      </c>
      <c r="B31" s="113">
        <f>Inputs!E67</f>
        <v>0</v>
      </c>
      <c r="C31" s="113">
        <f>Inputs!F67</f>
        <v>0</v>
      </c>
      <c r="D31" s="113">
        <f>Inputs!G67</f>
        <v>0</v>
      </c>
      <c r="E31" s="113">
        <f>Inputs!H67</f>
        <v>0</v>
      </c>
      <c r="F31" s="69">
        <f>SUM(B31:E31)</f>
        <v>0</v>
      </c>
      <c r="G31" s="113">
        <f>Inputs!J67</f>
        <v>0</v>
      </c>
      <c r="H31" s="113">
        <f>Inputs!K67</f>
        <v>0</v>
      </c>
      <c r="I31" s="113">
        <f>Inputs!L67</f>
        <v>0</v>
      </c>
      <c r="J31" s="113">
        <f>Inputs!M67</f>
        <v>0</v>
      </c>
      <c r="K31" s="69">
        <f>SUM(G31:J31)</f>
        <v>0</v>
      </c>
    </row>
    <row r="32" spans="1:11" ht="12.75" hidden="1" customHeight="1" outlineLevel="1" x14ac:dyDescent="0.2">
      <c r="A32" s="114" t="str">
        <f>"   "&amp;Labels!B183</f>
        <v xml:space="preserve">   Canoes</v>
      </c>
      <c r="B32" s="113">
        <f>Inputs!E68</f>
        <v>0</v>
      </c>
      <c r="C32" s="113">
        <f>Inputs!F68</f>
        <v>0</v>
      </c>
      <c r="D32" s="113">
        <f>Inputs!G68</f>
        <v>0</v>
      </c>
      <c r="E32" s="113">
        <f>Inputs!H68</f>
        <v>0</v>
      </c>
      <c r="F32" s="69">
        <f>SUM(B32:E32)</f>
        <v>0</v>
      </c>
      <c r="G32" s="113">
        <f>Inputs!J68</f>
        <v>0</v>
      </c>
      <c r="H32" s="113">
        <f>Inputs!K68</f>
        <v>0</v>
      </c>
      <c r="I32" s="113">
        <f>Inputs!L68</f>
        <v>0</v>
      </c>
      <c r="J32" s="113">
        <f>Inputs!M68</f>
        <v>0</v>
      </c>
      <c r="K32" s="69">
        <f>SUM(G32:J32)</f>
        <v>0</v>
      </c>
    </row>
    <row r="33" spans="1:11" ht="12.75" hidden="1" customHeight="1" outlineLevel="1" x14ac:dyDescent="0.2">
      <c r="A33" s="121" t="str">
        <f>"   "&amp;Labels!C181</f>
        <v xml:space="preserve">   Total</v>
      </c>
      <c r="B33" s="132">
        <f>SUM(B31:B32)</f>
        <v>0</v>
      </c>
      <c r="C33" s="132">
        <f>SUM(C31:C32)</f>
        <v>0</v>
      </c>
      <c r="D33" s="132">
        <f>SUM(D31:D32)</f>
        <v>0</v>
      </c>
      <c r="E33" s="132">
        <f>SUM(E31:E32)</f>
        <v>0</v>
      </c>
      <c r="F33" s="70">
        <f>SUM(B33:E33)</f>
        <v>0</v>
      </c>
      <c r="G33" s="132">
        <f>SUM(G31:G32)</f>
        <v>0</v>
      </c>
      <c r="H33" s="132">
        <f>SUM(H31:H32)</f>
        <v>0</v>
      </c>
      <c r="I33" s="132">
        <f>SUM(I31:I32)</f>
        <v>0</v>
      </c>
      <c r="J33" s="132">
        <f>SUM(J31:J32)</f>
        <v>0</v>
      </c>
      <c r="K33" s="70">
        <f>SUM(G33:J33)</f>
        <v>0</v>
      </c>
    </row>
    <row r="34" spans="1:11" ht="12.75" hidden="1" customHeight="1" outlineLevel="1" x14ac:dyDescent="0.2"/>
    <row r="35" spans="1:11" ht="12.75" hidden="1" customHeight="1" outlineLevel="1" x14ac:dyDescent="0.2">
      <c r="A35" s="111" t="str">
        <f>Labels!B53</f>
        <v>Variable Operating Expense</v>
      </c>
      <c r="B35" s="110"/>
      <c r="C35" s="110"/>
      <c r="D35" s="110"/>
      <c r="E35" s="110"/>
      <c r="F35" s="75"/>
      <c r="G35" s="110"/>
      <c r="H35" s="110"/>
      <c r="I35" s="110"/>
      <c r="J35" s="110"/>
      <c r="K35" s="75"/>
    </row>
    <row r="36" spans="1:11" ht="12.75" hidden="1" customHeight="1" outlineLevel="1" x14ac:dyDescent="0.2">
      <c r="A36" s="114" t="str">
        <f>"   "&amp;Labels!B182</f>
        <v xml:space="preserve">   Catamarans</v>
      </c>
      <c r="B36" s="113">
        <f>SUM(B144:B145)</f>
        <v>0</v>
      </c>
      <c r="C36" s="113">
        <f>SUM(C144:C145)</f>
        <v>0</v>
      </c>
      <c r="D36" s="113">
        <f>SUM(D144:D145)</f>
        <v>0</v>
      </c>
      <c r="E36" s="113">
        <f>SUM(E144:E145)</f>
        <v>0</v>
      </c>
      <c r="F36" s="69">
        <f>SUM(B36:E36)</f>
        <v>0</v>
      </c>
      <c r="G36" s="113">
        <f>SUM(G144:G145)</f>
        <v>0</v>
      </c>
      <c r="H36" s="113">
        <f>SUM(H144:H145)</f>
        <v>0</v>
      </c>
      <c r="I36" s="113">
        <f>SUM(I144:I145)</f>
        <v>0</v>
      </c>
      <c r="J36" s="113">
        <f>SUM(J144:J145)</f>
        <v>0</v>
      </c>
      <c r="K36" s="69">
        <f>SUM(G36:J36)</f>
        <v>0</v>
      </c>
    </row>
    <row r="37" spans="1:11" ht="12.75" hidden="1" customHeight="1" outlineLevel="1" x14ac:dyDescent="0.2">
      <c r="A37" s="114" t="str">
        <f>"   "&amp;Labels!B183</f>
        <v xml:space="preserve">   Canoes</v>
      </c>
      <c r="B37" s="113">
        <f>SUM(B148:B149)</f>
        <v>0</v>
      </c>
      <c r="C37" s="113">
        <f>SUM(C148:C149)</f>
        <v>0</v>
      </c>
      <c r="D37" s="113">
        <f>SUM(D148:D149)</f>
        <v>0</v>
      </c>
      <c r="E37" s="113">
        <f>SUM(E148:E149)</f>
        <v>0</v>
      </c>
      <c r="F37" s="69">
        <f>SUM(B37:E37)</f>
        <v>0</v>
      </c>
      <c r="G37" s="113">
        <f>SUM(G148:G149)</f>
        <v>0</v>
      </c>
      <c r="H37" s="113">
        <f>SUM(H148:H149)</f>
        <v>0</v>
      </c>
      <c r="I37" s="113">
        <f>SUM(I148:I149)</f>
        <v>0</v>
      </c>
      <c r="J37" s="113">
        <f>SUM(J148:J149)</f>
        <v>0</v>
      </c>
      <c r="K37" s="69">
        <f>SUM(G37:J37)</f>
        <v>0</v>
      </c>
    </row>
    <row r="38" spans="1:11" ht="12.75" hidden="1" customHeight="1" outlineLevel="1" x14ac:dyDescent="0.2">
      <c r="A38" s="121" t="str">
        <f>"   "&amp;Labels!C181</f>
        <v xml:space="preserve">   Total</v>
      </c>
      <c r="B38" s="132">
        <f>SUM(B36:B37)</f>
        <v>0</v>
      </c>
      <c r="C38" s="132">
        <f>SUM(C36:C37)</f>
        <v>0</v>
      </c>
      <c r="D38" s="132">
        <f>SUM(D36:D37)</f>
        <v>0</v>
      </c>
      <c r="E38" s="132">
        <f>SUM(E36:E37)</f>
        <v>0</v>
      </c>
      <c r="F38" s="70">
        <f>SUM(B38:E38)</f>
        <v>0</v>
      </c>
      <c r="G38" s="132">
        <f>SUM(G36:G37)</f>
        <v>0</v>
      </c>
      <c r="H38" s="132">
        <f>SUM(H36:H37)</f>
        <v>0</v>
      </c>
      <c r="I38" s="132">
        <f>SUM(I36:I37)</f>
        <v>0</v>
      </c>
      <c r="J38" s="132">
        <f>SUM(J36:J37)</f>
        <v>0</v>
      </c>
      <c r="K38" s="70">
        <f>SUM(G38:J38)</f>
        <v>0</v>
      </c>
    </row>
    <row r="39" spans="1:11" ht="12.75" hidden="1" customHeight="1" outlineLevel="1" x14ac:dyDescent="0.2"/>
    <row r="40" spans="1:11" ht="12.75" hidden="1" customHeight="1" outlineLevel="1" x14ac:dyDescent="0.2">
      <c r="A40" s="111" t="str">
        <f>Labels!B49</f>
        <v>Fixed Operating Expense</v>
      </c>
      <c r="B40" s="110"/>
      <c r="C40" s="110"/>
      <c r="D40" s="110"/>
      <c r="E40" s="110"/>
      <c r="F40" s="75"/>
      <c r="G40" s="110"/>
      <c r="H40" s="110"/>
      <c r="I40" s="110"/>
      <c r="J40" s="110"/>
      <c r="K40" s="75"/>
    </row>
    <row r="41" spans="1:11" ht="12.75" hidden="1" customHeight="1" outlineLevel="1" x14ac:dyDescent="0.2">
      <c r="A41" s="114" t="str">
        <f>"   "&amp;Labels!B182</f>
        <v xml:space="preserve">   Catamarans</v>
      </c>
      <c r="B41" s="113">
        <f>SUM(B158:B159)</f>
        <v>0</v>
      </c>
      <c r="C41" s="113">
        <f>SUM(C158:C159)</f>
        <v>0</v>
      </c>
      <c r="D41" s="113">
        <f>SUM(D158:D159)</f>
        <v>0</v>
      </c>
      <c r="E41" s="113">
        <f>SUM(E158:E159)</f>
        <v>0</v>
      </c>
      <c r="F41" s="69">
        <f>SUM(B41:E41)</f>
        <v>0</v>
      </c>
      <c r="G41" s="113">
        <f>SUM(G158:G159)</f>
        <v>0</v>
      </c>
      <c r="H41" s="113">
        <f>SUM(H158:H159)</f>
        <v>0</v>
      </c>
      <c r="I41" s="113">
        <f>SUM(I158:I159)</f>
        <v>0</v>
      </c>
      <c r="J41" s="113">
        <f>SUM(J158:J159)</f>
        <v>0</v>
      </c>
      <c r="K41" s="69">
        <f>SUM(G41:J41)</f>
        <v>0</v>
      </c>
    </row>
    <row r="42" spans="1:11" ht="12.75" hidden="1" customHeight="1" outlineLevel="1" x14ac:dyDescent="0.2">
      <c r="A42" s="114" t="str">
        <f>"   "&amp;Labels!B183</f>
        <v xml:space="preserve">   Canoes</v>
      </c>
      <c r="B42" s="113">
        <f>SUM(B162:B163)</f>
        <v>0</v>
      </c>
      <c r="C42" s="113">
        <f>SUM(C162:C163)</f>
        <v>0</v>
      </c>
      <c r="D42" s="113">
        <f>SUM(D162:D163)</f>
        <v>0</v>
      </c>
      <c r="E42" s="113">
        <f>SUM(E162:E163)</f>
        <v>0</v>
      </c>
      <c r="F42" s="69">
        <f>SUM(B42:E42)</f>
        <v>0</v>
      </c>
      <c r="G42" s="113">
        <f>SUM(G162:G163)</f>
        <v>0</v>
      </c>
      <c r="H42" s="113">
        <f>SUM(H162:H163)</f>
        <v>0</v>
      </c>
      <c r="I42" s="113">
        <f>SUM(I162:I163)</f>
        <v>0</v>
      </c>
      <c r="J42" s="113">
        <f>SUM(J162:J163)</f>
        <v>0</v>
      </c>
      <c r="K42" s="69">
        <f>SUM(G42:J42)</f>
        <v>0</v>
      </c>
    </row>
    <row r="43" spans="1:11" ht="12.75" hidden="1" customHeight="1" outlineLevel="1" x14ac:dyDescent="0.2">
      <c r="A43" s="121" t="str">
        <f>"   "&amp;Labels!C181</f>
        <v xml:space="preserve">   Total</v>
      </c>
      <c r="B43" s="132">
        <f>SUM(B41:B42)</f>
        <v>0</v>
      </c>
      <c r="C43" s="132">
        <f>SUM(C41:C42)</f>
        <v>0</v>
      </c>
      <c r="D43" s="132">
        <f>SUM(D41:D42)</f>
        <v>0</v>
      </c>
      <c r="E43" s="132">
        <f>SUM(E41:E42)</f>
        <v>0</v>
      </c>
      <c r="F43" s="70">
        <f>SUM(B43:E43)</f>
        <v>0</v>
      </c>
      <c r="G43" s="132">
        <f>SUM(G41:G42)</f>
        <v>0</v>
      </c>
      <c r="H43" s="132">
        <f>SUM(H41:H42)</f>
        <v>0</v>
      </c>
      <c r="I43" s="132">
        <f>SUM(I41:I42)</f>
        <v>0</v>
      </c>
      <c r="J43" s="132">
        <f>SUM(J41:J42)</f>
        <v>0</v>
      </c>
      <c r="K43" s="70">
        <f>SUM(G43:J43)</f>
        <v>0</v>
      </c>
    </row>
    <row r="44" spans="1:11" ht="12.75" hidden="1" customHeight="1" outlineLevel="1" x14ac:dyDescent="0.2"/>
    <row r="45" spans="1:11" ht="12.75" hidden="1" customHeight="1" outlineLevel="1" x14ac:dyDescent="0.2">
      <c r="A45" s="111" t="str">
        <f>Labels!B47</f>
        <v>EBITDA</v>
      </c>
      <c r="B45" s="110"/>
      <c r="C45" s="110"/>
      <c r="D45" s="110"/>
      <c r="E45" s="110"/>
      <c r="F45" s="75"/>
      <c r="G45" s="110"/>
      <c r="H45" s="110"/>
      <c r="I45" s="110"/>
      <c r="J45" s="110"/>
      <c r="K45" s="75"/>
    </row>
    <row r="46" spans="1:11" ht="12.75" hidden="1" customHeight="1" outlineLevel="1" x14ac:dyDescent="0.2">
      <c r="A46" s="114" t="str">
        <f>"   "&amp;Labels!B182</f>
        <v xml:space="preserve">   Catamarans</v>
      </c>
      <c r="B46" s="113">
        <f t="shared" ref="B46:E47" si="0">B31-B36-B41-0</f>
        <v>0</v>
      </c>
      <c r="C46" s="113">
        <f t="shared" si="0"/>
        <v>0</v>
      </c>
      <c r="D46" s="113">
        <f t="shared" si="0"/>
        <v>0</v>
      </c>
      <c r="E46" s="113">
        <f t="shared" si="0"/>
        <v>0</v>
      </c>
      <c r="F46" s="69">
        <f>SUM(B46:E46)</f>
        <v>0</v>
      </c>
      <c r="G46" s="113">
        <f t="shared" ref="G46:J47" si="1">G31-G36-G41-0</f>
        <v>0</v>
      </c>
      <c r="H46" s="113">
        <f t="shared" si="1"/>
        <v>0</v>
      </c>
      <c r="I46" s="113">
        <f t="shared" si="1"/>
        <v>0</v>
      </c>
      <c r="J46" s="113">
        <f t="shared" si="1"/>
        <v>0</v>
      </c>
      <c r="K46" s="69">
        <f>SUM(G46:J46)</f>
        <v>0</v>
      </c>
    </row>
    <row r="47" spans="1:11" ht="12.75" hidden="1" customHeight="1" outlineLevel="1" x14ac:dyDescent="0.2">
      <c r="A47" s="114" t="str">
        <f>"   "&amp;Labels!B183</f>
        <v xml:space="preserve">   Canoes</v>
      </c>
      <c r="B47" s="113">
        <f t="shared" si="0"/>
        <v>0</v>
      </c>
      <c r="C47" s="113">
        <f t="shared" si="0"/>
        <v>0</v>
      </c>
      <c r="D47" s="113">
        <f t="shared" si="0"/>
        <v>0</v>
      </c>
      <c r="E47" s="113">
        <f t="shared" si="0"/>
        <v>0</v>
      </c>
      <c r="F47" s="69">
        <f>SUM(B47:E47)</f>
        <v>0</v>
      </c>
      <c r="G47" s="113">
        <f t="shared" si="1"/>
        <v>0</v>
      </c>
      <c r="H47" s="113">
        <f t="shared" si="1"/>
        <v>0</v>
      </c>
      <c r="I47" s="113">
        <f t="shared" si="1"/>
        <v>0</v>
      </c>
      <c r="J47" s="113">
        <f t="shared" si="1"/>
        <v>0</v>
      </c>
      <c r="K47" s="69">
        <f>SUM(G47:J47)</f>
        <v>0</v>
      </c>
    </row>
    <row r="48" spans="1:11" ht="12.75" hidden="1" customHeight="1" outlineLevel="1" x14ac:dyDescent="0.2">
      <c r="A48" s="121" t="str">
        <f>"   "&amp;Labels!C181</f>
        <v xml:space="preserve">   Total</v>
      </c>
      <c r="B48" s="132">
        <f>SUM(B46:B47)</f>
        <v>0</v>
      </c>
      <c r="C48" s="132">
        <f>SUM(C46:C47)</f>
        <v>0</v>
      </c>
      <c r="D48" s="132">
        <f>SUM(D46:D47)</f>
        <v>0</v>
      </c>
      <c r="E48" s="132">
        <f>SUM(E46:E47)</f>
        <v>0</v>
      </c>
      <c r="F48" s="70">
        <f>SUM(B48:E48)</f>
        <v>0</v>
      </c>
      <c r="G48" s="132">
        <f>SUM(G46:G47)</f>
        <v>0</v>
      </c>
      <c r="H48" s="132">
        <f>SUM(H46:H47)</f>
        <v>0</v>
      </c>
      <c r="I48" s="132">
        <f>SUM(I46:I47)</f>
        <v>0</v>
      </c>
      <c r="J48" s="132">
        <f>SUM(J46:J47)</f>
        <v>0</v>
      </c>
      <c r="K48" s="70">
        <f>SUM(G48:J48)</f>
        <v>0</v>
      </c>
    </row>
    <row r="49" spans="1:11" ht="12.75" hidden="1" customHeight="1" outlineLevel="1" x14ac:dyDescent="0.2"/>
    <row r="50" spans="1:11" ht="12.75" hidden="1" customHeight="1" outlineLevel="1" x14ac:dyDescent="0.2">
      <c r="A50" s="111" t="str">
        <f>Labels!B34</f>
        <v>Depreciation</v>
      </c>
      <c r="B50" s="110"/>
      <c r="C50" s="110"/>
      <c r="D50" s="110"/>
      <c r="E50" s="110"/>
      <c r="F50" s="75"/>
      <c r="G50" s="110"/>
      <c r="H50" s="110"/>
      <c r="I50" s="110"/>
      <c r="J50" s="110"/>
      <c r="K50" s="75"/>
    </row>
    <row r="51" spans="1:11" ht="12.75" hidden="1" customHeight="1" outlineLevel="1" x14ac:dyDescent="0.2">
      <c r="A51" s="114" t="str">
        <f>"   "&amp;Labels!B182</f>
        <v xml:space="preserve">   Catamarans</v>
      </c>
      <c r="B51" s="113">
        <f>SUM(B172:B173)</f>
        <v>0</v>
      </c>
      <c r="C51" s="113">
        <f>SUM(C172:C173)</f>
        <v>0</v>
      </c>
      <c r="D51" s="113">
        <f>SUM(D172:D173)</f>
        <v>0</v>
      </c>
      <c r="E51" s="113">
        <f>SUM(E172:E173)</f>
        <v>0</v>
      </c>
      <c r="F51" s="69">
        <f>SUM(B51:E51)</f>
        <v>0</v>
      </c>
      <c r="G51" s="113">
        <f>SUM(G172:G173)</f>
        <v>0</v>
      </c>
      <c r="H51" s="113">
        <f>SUM(H172:H173)</f>
        <v>0</v>
      </c>
      <c r="I51" s="113">
        <f>SUM(I172:I173)</f>
        <v>0</v>
      </c>
      <c r="J51" s="113">
        <f>SUM(J172:J173)</f>
        <v>0</v>
      </c>
      <c r="K51" s="69">
        <f>SUM(G51:J51)</f>
        <v>0</v>
      </c>
    </row>
    <row r="52" spans="1:11" ht="12.75" hidden="1" customHeight="1" outlineLevel="1" x14ac:dyDescent="0.2">
      <c r="A52" s="114" t="str">
        <f>"   "&amp;Labels!B183</f>
        <v xml:space="preserve">   Canoes</v>
      </c>
      <c r="B52" s="113">
        <f>SUM(B176:B177)</f>
        <v>0</v>
      </c>
      <c r="C52" s="113">
        <f>SUM(C176:C177)</f>
        <v>0</v>
      </c>
      <c r="D52" s="113">
        <f>SUM(D176:D177)</f>
        <v>0</v>
      </c>
      <c r="E52" s="113">
        <f>SUM(E176:E177)</f>
        <v>0</v>
      </c>
      <c r="F52" s="69">
        <f>SUM(B52:E52)</f>
        <v>0</v>
      </c>
      <c r="G52" s="113">
        <f>SUM(G176:G177)</f>
        <v>0</v>
      </c>
      <c r="H52" s="113">
        <f>SUM(H176:H177)</f>
        <v>0</v>
      </c>
      <c r="I52" s="113">
        <f>SUM(I176:I177)</f>
        <v>0</v>
      </c>
      <c r="J52" s="113">
        <f>SUM(J176:J177)</f>
        <v>0</v>
      </c>
      <c r="K52" s="69">
        <f>SUM(G52:J52)</f>
        <v>0</v>
      </c>
    </row>
    <row r="53" spans="1:11" ht="12.75" hidden="1" customHeight="1" outlineLevel="1" x14ac:dyDescent="0.2">
      <c r="A53" s="117" t="str">
        <f>"   "&amp;Labels!C181</f>
        <v xml:space="preserve">   Total</v>
      </c>
      <c r="B53" s="120">
        <f>SUM(B51:B52)</f>
        <v>0</v>
      </c>
      <c r="C53" s="120">
        <f>SUM(C51:C52)</f>
        <v>0</v>
      </c>
      <c r="D53" s="120">
        <f>SUM(D51:D52)</f>
        <v>0</v>
      </c>
      <c r="E53" s="120">
        <f>SUM(E51:E52)</f>
        <v>0</v>
      </c>
      <c r="F53" s="69">
        <f>SUM(B53:E53)</f>
        <v>0</v>
      </c>
      <c r="G53" s="120">
        <f>SUM(G51:G52)</f>
        <v>0</v>
      </c>
      <c r="H53" s="120">
        <f>SUM(H51:H52)</f>
        <v>0</v>
      </c>
      <c r="I53" s="120">
        <f>SUM(I51:I52)</f>
        <v>0</v>
      </c>
      <c r="J53" s="120">
        <f>SUM(J51:J52)</f>
        <v>0</v>
      </c>
      <c r="K53" s="69">
        <f>SUM(G53:J53)</f>
        <v>0</v>
      </c>
    </row>
    <row r="54" spans="1:11" ht="12.75" hidden="1" customHeight="1" outlineLevel="1" x14ac:dyDescent="0.2">
      <c r="A54" s="12"/>
      <c r="B54" s="10"/>
      <c r="C54" s="10"/>
      <c r="D54" s="10"/>
      <c r="E54" s="10"/>
      <c r="F54" s="12"/>
      <c r="G54" s="10"/>
      <c r="H54" s="10"/>
      <c r="I54" s="10"/>
      <c r="J54" s="10"/>
      <c r="K54" s="12"/>
    </row>
    <row r="55" spans="1:11" ht="12.75" hidden="1" customHeight="1" outlineLevel="1" x14ac:dyDescent="0.2">
      <c r="A55" s="117" t="str">
        <f>Labels!B126</f>
        <v>Working Capital Amort</v>
      </c>
      <c r="B55" s="120"/>
      <c r="C55" s="120"/>
      <c r="D55" s="120"/>
      <c r="E55" s="120"/>
      <c r="F55" s="69"/>
      <c r="G55" s="120"/>
      <c r="H55" s="120"/>
      <c r="I55" s="120"/>
      <c r="J55" s="120"/>
      <c r="K55" s="69"/>
    </row>
    <row r="56" spans="1:11" ht="12.75" hidden="1" customHeight="1" outlineLevel="1" x14ac:dyDescent="0.2">
      <c r="A56" s="114" t="str">
        <f>"   "&amp;Labels!B182</f>
        <v xml:space="preserve">   Catamarans</v>
      </c>
      <c r="B56" s="113">
        <f>SUM(B186:B187)</f>
        <v>0</v>
      </c>
      <c r="C56" s="113">
        <f>SUM(C186:C187)</f>
        <v>0</v>
      </c>
      <c r="D56" s="113">
        <f>SUM(D186:D187)</f>
        <v>0</v>
      </c>
      <c r="E56" s="113">
        <f>SUM(E186:E187)</f>
        <v>0</v>
      </c>
      <c r="F56" s="69">
        <f>SUM(B56:E56)</f>
        <v>0</v>
      </c>
      <c r="G56" s="113">
        <f>SUM(G186:G187)</f>
        <v>0</v>
      </c>
      <c r="H56" s="113">
        <f>SUM(H186:H187)</f>
        <v>0</v>
      </c>
      <c r="I56" s="113">
        <f>SUM(I186:I187)</f>
        <v>0</v>
      </c>
      <c r="J56" s="113">
        <f>SUM(J186:J187)</f>
        <v>0</v>
      </c>
      <c r="K56" s="69">
        <f>SUM(G56:J56)</f>
        <v>0</v>
      </c>
    </row>
    <row r="57" spans="1:11" ht="12.75" hidden="1" customHeight="1" outlineLevel="1" x14ac:dyDescent="0.2">
      <c r="A57" s="114" t="str">
        <f>"   "&amp;Labels!B183</f>
        <v xml:space="preserve">   Canoes</v>
      </c>
      <c r="B57" s="113">
        <f>SUM(B190:B191)</f>
        <v>0</v>
      </c>
      <c r="C57" s="113">
        <f>SUM(C190:C191)</f>
        <v>0</v>
      </c>
      <c r="D57" s="113">
        <f>SUM(D190:D191)</f>
        <v>0</v>
      </c>
      <c r="E57" s="113">
        <f>SUM(E190:E191)</f>
        <v>0</v>
      </c>
      <c r="F57" s="69">
        <f>SUM(B57:E57)</f>
        <v>0</v>
      </c>
      <c r="G57" s="113">
        <f>SUM(G190:G191)</f>
        <v>0</v>
      </c>
      <c r="H57" s="113">
        <f>SUM(H190:H191)</f>
        <v>0</v>
      </c>
      <c r="I57" s="113">
        <f>SUM(I190:I191)</f>
        <v>0</v>
      </c>
      <c r="J57" s="113">
        <f>SUM(J190:J191)</f>
        <v>0</v>
      </c>
      <c r="K57" s="69">
        <f>SUM(G57:J57)</f>
        <v>0</v>
      </c>
    </row>
    <row r="58" spans="1:11" ht="12.75" hidden="1" customHeight="1" outlineLevel="1" x14ac:dyDescent="0.2">
      <c r="A58" s="121" t="str">
        <f>"   "&amp;Labels!C181</f>
        <v xml:space="preserve">   Total</v>
      </c>
      <c r="B58" s="132">
        <f>SUM(B56:B57)</f>
        <v>0</v>
      </c>
      <c r="C58" s="132">
        <f>SUM(C56:C57)</f>
        <v>0</v>
      </c>
      <c r="D58" s="132">
        <f>SUM(D56:D57)</f>
        <v>0</v>
      </c>
      <c r="E58" s="132">
        <f>SUM(E56:E57)</f>
        <v>0</v>
      </c>
      <c r="F58" s="70">
        <f>SUM(B58:E58)</f>
        <v>0</v>
      </c>
      <c r="G58" s="132">
        <f>SUM(G56:G57)</f>
        <v>0</v>
      </c>
      <c r="H58" s="132">
        <f>SUM(H56:H57)</f>
        <v>0</v>
      </c>
      <c r="I58" s="132">
        <f>SUM(I56:I57)</f>
        <v>0</v>
      </c>
      <c r="J58" s="132">
        <f>SUM(J56:J57)</f>
        <v>0</v>
      </c>
      <c r="K58" s="70">
        <f>SUM(G58:J58)</f>
        <v>0</v>
      </c>
    </row>
    <row r="59" spans="1:11" ht="12.75" hidden="1" customHeight="1" outlineLevel="1" x14ac:dyDescent="0.2"/>
    <row r="60" spans="1:11" ht="12.75" hidden="1" customHeight="1" outlineLevel="1" x14ac:dyDescent="0.2">
      <c r="A60" s="111" t="str">
        <f>Labels!B45</f>
        <v>EBIT</v>
      </c>
      <c r="B60" s="110"/>
      <c r="C60" s="110"/>
      <c r="D60" s="110"/>
      <c r="E60" s="110"/>
      <c r="F60" s="75"/>
      <c r="G60" s="110"/>
      <c r="H60" s="110"/>
      <c r="I60" s="110"/>
      <c r="J60" s="110"/>
      <c r="K60" s="75"/>
    </row>
    <row r="61" spans="1:11" ht="12.75" hidden="1" customHeight="1" outlineLevel="1" x14ac:dyDescent="0.2">
      <c r="A61" s="114" t="str">
        <f>"   "&amp;Labels!B182</f>
        <v xml:space="preserve">   Catamarans</v>
      </c>
      <c r="B61" s="113">
        <f t="shared" ref="B61:E62" si="2">B46-B51-B56</f>
        <v>0</v>
      </c>
      <c r="C61" s="113">
        <f t="shared" si="2"/>
        <v>0</v>
      </c>
      <c r="D61" s="113">
        <f t="shared" si="2"/>
        <v>0</v>
      </c>
      <c r="E61" s="113">
        <f t="shared" si="2"/>
        <v>0</v>
      </c>
      <c r="F61" s="69">
        <f>SUM(B61:E61)</f>
        <v>0</v>
      </c>
      <c r="G61" s="113">
        <f t="shared" ref="G61:J62" si="3">G46-G51-G56</f>
        <v>0</v>
      </c>
      <c r="H61" s="113">
        <f t="shared" si="3"/>
        <v>0</v>
      </c>
      <c r="I61" s="113">
        <f t="shared" si="3"/>
        <v>0</v>
      </c>
      <c r="J61" s="113">
        <f t="shared" si="3"/>
        <v>0</v>
      </c>
      <c r="K61" s="69">
        <f>SUM(G61:J61)</f>
        <v>0</v>
      </c>
    </row>
    <row r="62" spans="1:11" ht="12.75" hidden="1" customHeight="1" outlineLevel="1" x14ac:dyDescent="0.2">
      <c r="A62" s="114" t="str">
        <f>"   "&amp;Labels!B183</f>
        <v xml:space="preserve">   Canoes</v>
      </c>
      <c r="B62" s="113">
        <f t="shared" si="2"/>
        <v>0</v>
      </c>
      <c r="C62" s="113">
        <f t="shared" si="2"/>
        <v>0</v>
      </c>
      <c r="D62" s="113">
        <f t="shared" si="2"/>
        <v>0</v>
      </c>
      <c r="E62" s="113">
        <f t="shared" si="2"/>
        <v>0</v>
      </c>
      <c r="F62" s="69">
        <f>SUM(B62:E62)</f>
        <v>0</v>
      </c>
      <c r="G62" s="113">
        <f t="shared" si="3"/>
        <v>0</v>
      </c>
      <c r="H62" s="113">
        <f t="shared" si="3"/>
        <v>0</v>
      </c>
      <c r="I62" s="113">
        <f t="shared" si="3"/>
        <v>0</v>
      </c>
      <c r="J62" s="113">
        <f t="shared" si="3"/>
        <v>0</v>
      </c>
      <c r="K62" s="69">
        <f>SUM(G62:J62)</f>
        <v>0</v>
      </c>
    </row>
    <row r="63" spans="1:11" ht="12.75" hidden="1" customHeight="1" outlineLevel="1" x14ac:dyDescent="0.2">
      <c r="A63" s="121" t="str">
        <f>"   "&amp;Labels!C181</f>
        <v xml:space="preserve">   Total</v>
      </c>
      <c r="B63" s="132">
        <f>SUM(B61:B62)</f>
        <v>0</v>
      </c>
      <c r="C63" s="132">
        <f>SUM(C61:C62)</f>
        <v>0</v>
      </c>
      <c r="D63" s="132">
        <f>SUM(D61:D62)</f>
        <v>0</v>
      </c>
      <c r="E63" s="132">
        <f>SUM(E61:E62)</f>
        <v>0</v>
      </c>
      <c r="F63" s="70">
        <f>SUM(B63:E63)</f>
        <v>0</v>
      </c>
      <c r="G63" s="132">
        <f>SUM(G61:G62)</f>
        <v>0</v>
      </c>
      <c r="H63" s="132">
        <f>SUM(H61:H62)</f>
        <v>0</v>
      </c>
      <c r="I63" s="132">
        <f>SUM(I61:I62)</f>
        <v>0</v>
      </c>
      <c r="J63" s="132">
        <f>SUM(J61:J62)</f>
        <v>0</v>
      </c>
      <c r="K63" s="70">
        <f>SUM(G63:J63)</f>
        <v>0</v>
      </c>
    </row>
    <row r="64" spans="1:11" ht="12.75" hidden="1" customHeight="1" outlineLevel="1" x14ac:dyDescent="0.2"/>
    <row r="65" spans="1:11" ht="12.75" hidden="1" customHeight="1" outlineLevel="1" x14ac:dyDescent="0.2">
      <c r="A65" s="111" t="str">
        <f>Labels!B55</f>
        <v>Financial Exp &amp; Tax</v>
      </c>
      <c r="B65" s="110"/>
      <c r="C65" s="110"/>
      <c r="D65" s="110"/>
      <c r="E65" s="110"/>
      <c r="F65" s="75"/>
      <c r="G65" s="110"/>
      <c r="H65" s="110"/>
      <c r="I65" s="110"/>
      <c r="J65" s="110"/>
      <c r="K65" s="75"/>
    </row>
    <row r="66" spans="1:11" ht="12.75" hidden="1" customHeight="1" outlineLevel="1" x14ac:dyDescent="0.2">
      <c r="A66" s="114" t="str">
        <f>"   "&amp;Labels!B152</f>
        <v xml:space="preserve">   Interest</v>
      </c>
      <c r="B66" s="113"/>
      <c r="C66" s="113"/>
      <c r="D66" s="113"/>
      <c r="E66" s="113"/>
      <c r="F66" s="69"/>
      <c r="G66" s="113"/>
      <c r="H66" s="113"/>
      <c r="I66" s="113"/>
      <c r="J66" s="113"/>
      <c r="K66" s="69"/>
    </row>
    <row r="67" spans="1:11" ht="12.75" hidden="1" customHeight="1" outlineLevel="1" x14ac:dyDescent="0.2">
      <c r="A67" s="144" t="str">
        <f>"      "&amp;Labels!B182</f>
        <v xml:space="preserve">      Catamarans</v>
      </c>
      <c r="B67" s="116">
        <f>'Blended Fin'!D324</f>
        <v>0</v>
      </c>
      <c r="C67" s="116">
        <f>'Blended Fin'!E324</f>
        <v>0</v>
      </c>
      <c r="D67" s="116">
        <f>'Blended Fin'!F324</f>
        <v>0</v>
      </c>
      <c r="E67" s="116">
        <f>'Blended Fin'!G324</f>
        <v>0</v>
      </c>
      <c r="F67" s="69">
        <f>SUM(B67:E67)</f>
        <v>0</v>
      </c>
      <c r="G67" s="116">
        <f>'Blended Fin'!I324</f>
        <v>0</v>
      </c>
      <c r="H67" s="116">
        <f>'Blended Fin'!J324</f>
        <v>0</v>
      </c>
      <c r="I67" s="116">
        <f>'Blended Fin'!K324</f>
        <v>0</v>
      </c>
      <c r="J67" s="116">
        <f>'Blended Fin'!L324</f>
        <v>0</v>
      </c>
      <c r="K67" s="69">
        <f>SUM(G67:J67)</f>
        <v>0</v>
      </c>
    </row>
    <row r="68" spans="1:11" ht="12.75" hidden="1" customHeight="1" outlineLevel="1" x14ac:dyDescent="0.2">
      <c r="A68" s="144" t="str">
        <f>"      "&amp;Labels!B183</f>
        <v xml:space="preserve">      Canoes</v>
      </c>
      <c r="B68" s="116">
        <f>'Blended Fin'!D328</f>
        <v>0</v>
      </c>
      <c r="C68" s="116">
        <f>'Blended Fin'!E328</f>
        <v>0</v>
      </c>
      <c r="D68" s="116">
        <f>'Blended Fin'!F328</f>
        <v>0</v>
      </c>
      <c r="E68" s="116">
        <f>'Blended Fin'!G328</f>
        <v>0</v>
      </c>
      <c r="F68" s="69">
        <f>SUM(B68:E68)</f>
        <v>0</v>
      </c>
      <c r="G68" s="116">
        <f>'Blended Fin'!I328</f>
        <v>0</v>
      </c>
      <c r="H68" s="116">
        <f>'Blended Fin'!J328</f>
        <v>0</v>
      </c>
      <c r="I68" s="116">
        <f>'Blended Fin'!K328</f>
        <v>0</v>
      </c>
      <c r="J68" s="116">
        <f>'Blended Fin'!L328</f>
        <v>0</v>
      </c>
      <c r="K68" s="69">
        <f>SUM(G68:J68)</f>
        <v>0</v>
      </c>
    </row>
    <row r="69" spans="1:11" ht="12.75" hidden="1" customHeight="1" outlineLevel="1" x14ac:dyDescent="0.2">
      <c r="A69" s="114" t="str">
        <f>"      "&amp;Labels!C181</f>
        <v xml:space="preserve">      Total</v>
      </c>
      <c r="B69" s="113">
        <f>SUM(B67:B68)</f>
        <v>0</v>
      </c>
      <c r="C69" s="113">
        <f>SUM(C67:C68)</f>
        <v>0</v>
      </c>
      <c r="D69" s="113">
        <f>SUM(D67:D68)</f>
        <v>0</v>
      </c>
      <c r="E69" s="113">
        <f>SUM(E67:E68)</f>
        <v>0</v>
      </c>
      <c r="F69" s="69">
        <f>SUM(B69:E69)</f>
        <v>0</v>
      </c>
      <c r="G69" s="113">
        <f>SUM(G67:G68)</f>
        <v>0</v>
      </c>
      <c r="H69" s="113">
        <f>SUM(H67:H68)</f>
        <v>0</v>
      </c>
      <c r="I69" s="113">
        <f>SUM(I67:I68)</f>
        <v>0</v>
      </c>
      <c r="J69" s="113">
        <f>SUM(J67:J68)</f>
        <v>0</v>
      </c>
      <c r="K69" s="69">
        <f>SUM(G69:J69)</f>
        <v>0</v>
      </c>
    </row>
    <row r="70" spans="1:11" ht="12.75" hidden="1" customHeight="1" outlineLevel="1" x14ac:dyDescent="0.2">
      <c r="A70" s="114" t="str">
        <f>"   "&amp;Labels!B153</f>
        <v xml:space="preserve">   Lease Exp</v>
      </c>
      <c r="B70" s="113"/>
      <c r="C70" s="113"/>
      <c r="D70" s="113"/>
      <c r="E70" s="113"/>
      <c r="F70" s="69"/>
      <c r="G70" s="113"/>
      <c r="H70" s="113"/>
      <c r="I70" s="113"/>
      <c r="J70" s="113"/>
      <c r="K70" s="69"/>
    </row>
    <row r="71" spans="1:11" ht="12.75" hidden="1" customHeight="1" outlineLevel="1" x14ac:dyDescent="0.2">
      <c r="A71" s="144" t="str">
        <f>"      "&amp;Labels!B182</f>
        <v xml:space="preserve">      Catamarans</v>
      </c>
      <c r="B71" s="116">
        <f>'Blended Fin'!D341</f>
        <v>0</v>
      </c>
      <c r="C71" s="116">
        <f>'Blended Fin'!E341</f>
        <v>0</v>
      </c>
      <c r="D71" s="116">
        <f>'Blended Fin'!F341</f>
        <v>0</v>
      </c>
      <c r="E71" s="116">
        <f>'Blended Fin'!G341</f>
        <v>0</v>
      </c>
      <c r="F71" s="69">
        <f>SUM(B71:E71)</f>
        <v>0</v>
      </c>
      <c r="G71" s="116">
        <f>'Blended Fin'!I341</f>
        <v>0</v>
      </c>
      <c r="H71" s="116">
        <f>'Blended Fin'!J341</f>
        <v>0</v>
      </c>
      <c r="I71" s="116">
        <f>'Blended Fin'!K341</f>
        <v>0</v>
      </c>
      <c r="J71" s="116">
        <f>'Blended Fin'!L341</f>
        <v>0</v>
      </c>
      <c r="K71" s="69">
        <f>SUM(G71:J71)</f>
        <v>0</v>
      </c>
    </row>
    <row r="72" spans="1:11" ht="12.75" hidden="1" customHeight="1" outlineLevel="1" x14ac:dyDescent="0.2">
      <c r="A72" s="144" t="str">
        <f>"      "&amp;Labels!B183</f>
        <v xml:space="preserve">      Canoes</v>
      </c>
      <c r="B72" s="116">
        <f>'Blended Fin'!D345</f>
        <v>0</v>
      </c>
      <c r="C72" s="116">
        <f>'Blended Fin'!E345</f>
        <v>0</v>
      </c>
      <c r="D72" s="116">
        <f>'Blended Fin'!F345</f>
        <v>0</v>
      </c>
      <c r="E72" s="116">
        <f>'Blended Fin'!G345</f>
        <v>0</v>
      </c>
      <c r="F72" s="69">
        <f>SUM(B72:E72)</f>
        <v>0</v>
      </c>
      <c r="G72" s="116">
        <f>'Blended Fin'!I345</f>
        <v>0</v>
      </c>
      <c r="H72" s="116">
        <f>'Blended Fin'!J345</f>
        <v>0</v>
      </c>
      <c r="I72" s="116">
        <f>'Blended Fin'!K345</f>
        <v>0</v>
      </c>
      <c r="J72" s="116">
        <f>'Blended Fin'!L345</f>
        <v>0</v>
      </c>
      <c r="K72" s="69">
        <f>SUM(G72:J72)</f>
        <v>0</v>
      </c>
    </row>
    <row r="73" spans="1:11" ht="12.75" hidden="1" customHeight="1" outlineLevel="1" x14ac:dyDescent="0.2">
      <c r="A73" s="114" t="str">
        <f>"      "&amp;Labels!C181</f>
        <v xml:space="preserve">      Total</v>
      </c>
      <c r="B73" s="113">
        <f>SUM(B71:B72)</f>
        <v>0</v>
      </c>
      <c r="C73" s="113">
        <f>SUM(C71:C72)</f>
        <v>0</v>
      </c>
      <c r="D73" s="113">
        <f>SUM(D71:D72)</f>
        <v>0</v>
      </c>
      <c r="E73" s="113">
        <f>SUM(E71:E72)</f>
        <v>0</v>
      </c>
      <c r="F73" s="69">
        <f>SUM(B73:E73)</f>
        <v>0</v>
      </c>
      <c r="G73" s="113">
        <f>SUM(G71:G72)</f>
        <v>0</v>
      </c>
      <c r="H73" s="113">
        <f>SUM(H71:H72)</f>
        <v>0</v>
      </c>
      <c r="I73" s="113">
        <f>SUM(I71:I72)</f>
        <v>0</v>
      </c>
      <c r="J73" s="113">
        <f>SUM(J71:J72)</f>
        <v>0</v>
      </c>
      <c r="K73" s="69">
        <f>SUM(G73:J73)</f>
        <v>0</v>
      </c>
    </row>
    <row r="74" spans="1:11" ht="12.75" hidden="1" customHeight="1" outlineLevel="1" x14ac:dyDescent="0.2">
      <c r="A74" s="114" t="str">
        <f>"   "&amp;Labels!B154</f>
        <v xml:space="preserve">   Income Tax</v>
      </c>
      <c r="B74" s="113"/>
      <c r="C74" s="113"/>
      <c r="D74" s="113"/>
      <c r="E74" s="113"/>
      <c r="F74" s="69"/>
      <c r="G74" s="113"/>
      <c r="H74" s="113"/>
      <c r="I74" s="113"/>
      <c r="J74" s="113"/>
      <c r="K74" s="69"/>
    </row>
    <row r="75" spans="1:11" ht="12.75" hidden="1" customHeight="1" outlineLevel="1" x14ac:dyDescent="0.2">
      <c r="A75" s="144" t="str">
        <f>"      "&amp;Labels!B182</f>
        <v xml:space="preserve">      Catamarans</v>
      </c>
      <c r="B75" s="116">
        <f>'(Tables)'!B208</f>
        <v>0</v>
      </c>
      <c r="C75" s="116">
        <f>'(Tables)'!C208</f>
        <v>0</v>
      </c>
      <c r="D75" s="116">
        <f>'(Tables)'!D208</f>
        <v>0</v>
      </c>
      <c r="E75" s="116">
        <f>'(Tables)'!E208</f>
        <v>0</v>
      </c>
      <c r="F75" s="69">
        <f t="shared" ref="F75:F80" si="4">SUM(B75:E75)</f>
        <v>0</v>
      </c>
      <c r="G75" s="116">
        <f>'(Tables)'!G208</f>
        <v>0</v>
      </c>
      <c r="H75" s="116">
        <f>'(Tables)'!H208</f>
        <v>0</v>
      </c>
      <c r="I75" s="116">
        <f>'(Tables)'!I208</f>
        <v>0</v>
      </c>
      <c r="J75" s="116">
        <f>'(Tables)'!J208</f>
        <v>0</v>
      </c>
      <c r="K75" s="69">
        <f t="shared" ref="K75:K80" si="5">SUM(G75:J75)</f>
        <v>0</v>
      </c>
    </row>
    <row r="76" spans="1:11" ht="12.75" hidden="1" customHeight="1" outlineLevel="1" x14ac:dyDescent="0.2">
      <c r="A76" s="144" t="str">
        <f>"      "&amp;Labels!B183</f>
        <v xml:space="preserve">      Canoes</v>
      </c>
      <c r="B76" s="116">
        <f>'(Tables)'!B209</f>
        <v>0</v>
      </c>
      <c r="C76" s="116">
        <f>'(Tables)'!C209</f>
        <v>0</v>
      </c>
      <c r="D76" s="116">
        <f>'(Tables)'!D209</f>
        <v>0</v>
      </c>
      <c r="E76" s="116">
        <f>'(Tables)'!E209</f>
        <v>0</v>
      </c>
      <c r="F76" s="69">
        <f t="shared" si="4"/>
        <v>0</v>
      </c>
      <c r="G76" s="116">
        <f>'(Tables)'!G209</f>
        <v>0</v>
      </c>
      <c r="H76" s="116">
        <f>'(Tables)'!H209</f>
        <v>0</v>
      </c>
      <c r="I76" s="116">
        <f>'(Tables)'!I209</f>
        <v>0</v>
      </c>
      <c r="J76" s="116">
        <f>'(Tables)'!J209</f>
        <v>0</v>
      </c>
      <c r="K76" s="69">
        <f t="shared" si="5"/>
        <v>0</v>
      </c>
    </row>
    <row r="77" spans="1:11" ht="12.75" hidden="1" customHeight="1" outlineLevel="1" x14ac:dyDescent="0.2">
      <c r="A77" s="114" t="str">
        <f>"      "&amp;Labels!C181</f>
        <v xml:space="preserve">      Total</v>
      </c>
      <c r="B77" s="113">
        <f>SUM(B75:B76)</f>
        <v>0</v>
      </c>
      <c r="C77" s="113">
        <f>SUM(C75:C76)</f>
        <v>0</v>
      </c>
      <c r="D77" s="113">
        <f>SUM(D75:D76)</f>
        <v>0</v>
      </c>
      <c r="E77" s="113">
        <f>SUM(E75:E76)</f>
        <v>0</v>
      </c>
      <c r="F77" s="69">
        <f t="shared" si="4"/>
        <v>0</v>
      </c>
      <c r="G77" s="113">
        <f>SUM(G75:G76)</f>
        <v>0</v>
      </c>
      <c r="H77" s="113">
        <f>SUM(H75:H76)</f>
        <v>0</v>
      </c>
      <c r="I77" s="113">
        <f>SUM(I75:I76)</f>
        <v>0</v>
      </c>
      <c r="J77" s="113">
        <f>SUM(J75:J76)</f>
        <v>0</v>
      </c>
      <c r="K77" s="69">
        <f t="shared" si="5"/>
        <v>0</v>
      </c>
    </row>
    <row r="78" spans="1:11" ht="12.75" hidden="1" customHeight="1" outlineLevel="1" x14ac:dyDescent="0.2">
      <c r="A78" s="117" t="str">
        <f>"   "&amp;Labels!C151</f>
        <v xml:space="preserve">   Total</v>
      </c>
      <c r="B78" s="120">
        <f>SUM(B69,B73,B77)</f>
        <v>0</v>
      </c>
      <c r="C78" s="120">
        <f>SUM(C69,C73,C77)</f>
        <v>0</v>
      </c>
      <c r="D78" s="120">
        <f>SUM(D69,D73,D77)</f>
        <v>0</v>
      </c>
      <c r="E78" s="120">
        <f>SUM(E69,E73,E77)</f>
        <v>0</v>
      </c>
      <c r="F78" s="69">
        <f t="shared" si="4"/>
        <v>0</v>
      </c>
      <c r="G78" s="120">
        <f>SUM(G69,G73,G77)</f>
        <v>0</v>
      </c>
      <c r="H78" s="120">
        <f>SUM(H69,H73,H77)</f>
        <v>0</v>
      </c>
      <c r="I78" s="120">
        <f>SUM(I69,I73,I77)</f>
        <v>0</v>
      </c>
      <c r="J78" s="120">
        <f>SUM(J69,J73,J77)</f>
        <v>0</v>
      </c>
      <c r="K78" s="69">
        <f t="shared" si="5"/>
        <v>0</v>
      </c>
    </row>
    <row r="79" spans="1:11" ht="12.75" hidden="1" customHeight="1" outlineLevel="1" x14ac:dyDescent="0.2">
      <c r="A79" s="144" t="str">
        <f>"      "&amp;Labels!B182</f>
        <v xml:space="preserve">      Catamarans</v>
      </c>
      <c r="B79" s="116">
        <f t="shared" ref="B79:E81" si="6">SUM(B67,B71,B75)</f>
        <v>0</v>
      </c>
      <c r="C79" s="116">
        <f t="shared" si="6"/>
        <v>0</v>
      </c>
      <c r="D79" s="116">
        <f t="shared" si="6"/>
        <v>0</v>
      </c>
      <c r="E79" s="116">
        <f t="shared" si="6"/>
        <v>0</v>
      </c>
      <c r="F79" s="69">
        <f t="shared" si="4"/>
        <v>0</v>
      </c>
      <c r="G79" s="116">
        <f t="shared" ref="G79:J81" si="7">SUM(G67,G71,G75)</f>
        <v>0</v>
      </c>
      <c r="H79" s="116">
        <f t="shared" si="7"/>
        <v>0</v>
      </c>
      <c r="I79" s="116">
        <f t="shared" si="7"/>
        <v>0</v>
      </c>
      <c r="J79" s="116">
        <f t="shared" si="7"/>
        <v>0</v>
      </c>
      <c r="K79" s="69">
        <f t="shared" si="5"/>
        <v>0</v>
      </c>
    </row>
    <row r="80" spans="1:11" ht="12.75" hidden="1" customHeight="1" outlineLevel="1" x14ac:dyDescent="0.2">
      <c r="A80" s="144" t="str">
        <f>"      "&amp;Labels!B183</f>
        <v xml:space="preserve">      Canoes</v>
      </c>
      <c r="B80" s="116">
        <f t="shared" si="6"/>
        <v>0</v>
      </c>
      <c r="C80" s="116">
        <f t="shared" si="6"/>
        <v>0</v>
      </c>
      <c r="D80" s="116">
        <f t="shared" si="6"/>
        <v>0</v>
      </c>
      <c r="E80" s="116">
        <f t="shared" si="6"/>
        <v>0</v>
      </c>
      <c r="F80" s="69">
        <f t="shared" si="4"/>
        <v>0</v>
      </c>
      <c r="G80" s="116">
        <f t="shared" si="7"/>
        <v>0</v>
      </c>
      <c r="H80" s="116">
        <f t="shared" si="7"/>
        <v>0</v>
      </c>
      <c r="I80" s="116">
        <f t="shared" si="7"/>
        <v>0</v>
      </c>
      <c r="J80" s="116">
        <f t="shared" si="7"/>
        <v>0</v>
      </c>
      <c r="K80" s="69">
        <f t="shared" si="5"/>
        <v>0</v>
      </c>
    </row>
    <row r="81" spans="1:11" ht="12.75" hidden="1" customHeight="1" outlineLevel="1" x14ac:dyDescent="0.2">
      <c r="A81" s="114" t="str">
        <f>"      "&amp;Labels!C181</f>
        <v xml:space="preserve">      Total</v>
      </c>
      <c r="B81" s="113">
        <f t="shared" si="6"/>
        <v>0</v>
      </c>
      <c r="C81" s="113">
        <f t="shared" si="6"/>
        <v>0</v>
      </c>
      <c r="D81" s="113">
        <f t="shared" si="6"/>
        <v>0</v>
      </c>
      <c r="E81" s="113">
        <f t="shared" si="6"/>
        <v>0</v>
      </c>
      <c r="F81" s="69">
        <f>SUM(B78:E78)</f>
        <v>0</v>
      </c>
      <c r="G81" s="113">
        <f t="shared" si="7"/>
        <v>0</v>
      </c>
      <c r="H81" s="113">
        <f t="shared" si="7"/>
        <v>0</v>
      </c>
      <c r="I81" s="113">
        <f t="shared" si="7"/>
        <v>0</v>
      </c>
      <c r="J81" s="113">
        <f t="shared" si="7"/>
        <v>0</v>
      </c>
      <c r="K81" s="69">
        <f>SUM(G78:J78)</f>
        <v>0</v>
      </c>
    </row>
    <row r="82" spans="1:11" ht="12.75" hidden="1" customHeight="1" outlineLevel="1" x14ac:dyDescent="0.2">
      <c r="A82" s="12"/>
      <c r="B82" s="10"/>
      <c r="C82" s="10"/>
      <c r="D82" s="10"/>
      <c r="E82" s="10"/>
      <c r="F82" s="12"/>
      <c r="G82" s="10"/>
      <c r="H82" s="10"/>
      <c r="I82" s="10"/>
      <c r="J82" s="10"/>
      <c r="K82" s="12"/>
    </row>
    <row r="83" spans="1:11" ht="12.75" hidden="1" customHeight="1" outlineLevel="1" x14ac:dyDescent="0.2">
      <c r="A83" s="117" t="str">
        <f>Labels!B90</f>
        <v>Net Income</v>
      </c>
      <c r="B83" s="120"/>
      <c r="C83" s="120"/>
      <c r="D83" s="120"/>
      <c r="E83" s="120"/>
      <c r="F83" s="69"/>
      <c r="G83" s="120"/>
      <c r="H83" s="120"/>
      <c r="I83" s="120"/>
      <c r="J83" s="120"/>
      <c r="K83" s="69"/>
    </row>
    <row r="84" spans="1:11" ht="12.75" hidden="1" customHeight="1" outlineLevel="1" x14ac:dyDescent="0.2">
      <c r="A84" s="114" t="str">
        <f>"   "&amp;Labels!B182</f>
        <v xml:space="preserve">   Catamarans</v>
      </c>
      <c r="B84" s="113">
        <f t="shared" ref="B84:E85" si="8">B61-B79</f>
        <v>0</v>
      </c>
      <c r="C84" s="113">
        <f t="shared" si="8"/>
        <v>0</v>
      </c>
      <c r="D84" s="113">
        <f t="shared" si="8"/>
        <v>0</v>
      </c>
      <c r="E84" s="113">
        <f t="shared" si="8"/>
        <v>0</v>
      </c>
      <c r="F84" s="69">
        <f>SUM(B84:E84)</f>
        <v>0</v>
      </c>
      <c r="G84" s="113">
        <f t="shared" ref="G84:J85" si="9">G61-G79</f>
        <v>0</v>
      </c>
      <c r="H84" s="113">
        <f t="shared" si="9"/>
        <v>0</v>
      </c>
      <c r="I84" s="113">
        <f t="shared" si="9"/>
        <v>0</v>
      </c>
      <c r="J84" s="113">
        <f t="shared" si="9"/>
        <v>0</v>
      </c>
      <c r="K84" s="69">
        <f>SUM(G84:J84)</f>
        <v>0</v>
      </c>
    </row>
    <row r="85" spans="1:11" ht="12.75" hidden="1" customHeight="1" outlineLevel="1" x14ac:dyDescent="0.2">
      <c r="A85" s="114" t="str">
        <f>"   "&amp;Labels!B183</f>
        <v xml:space="preserve">   Canoes</v>
      </c>
      <c r="B85" s="113">
        <f t="shared" si="8"/>
        <v>0</v>
      </c>
      <c r="C85" s="113">
        <f t="shared" si="8"/>
        <v>0</v>
      </c>
      <c r="D85" s="113">
        <f t="shared" si="8"/>
        <v>0</v>
      </c>
      <c r="E85" s="113">
        <f t="shared" si="8"/>
        <v>0</v>
      </c>
      <c r="F85" s="69">
        <f>SUM(B85:E85)</f>
        <v>0</v>
      </c>
      <c r="G85" s="113">
        <f t="shared" si="9"/>
        <v>0</v>
      </c>
      <c r="H85" s="113">
        <f t="shared" si="9"/>
        <v>0</v>
      </c>
      <c r="I85" s="113">
        <f t="shared" si="9"/>
        <v>0</v>
      </c>
      <c r="J85" s="113">
        <f t="shared" si="9"/>
        <v>0</v>
      </c>
      <c r="K85" s="69">
        <f>SUM(G85:J85)</f>
        <v>0</v>
      </c>
    </row>
    <row r="86" spans="1:11" ht="12.75" hidden="1" customHeight="1" outlineLevel="1" x14ac:dyDescent="0.2">
      <c r="A86" s="121" t="str">
        <f>"   "&amp;Labels!C181</f>
        <v xml:space="preserve">   Total</v>
      </c>
      <c r="B86" s="132">
        <f>SUM(B84:B85)</f>
        <v>0</v>
      </c>
      <c r="C86" s="132">
        <f>SUM(C84:C85)</f>
        <v>0</v>
      </c>
      <c r="D86" s="132">
        <f>SUM(D84:D85)</f>
        <v>0</v>
      </c>
      <c r="E86" s="132">
        <f>SUM(E84:E85)</f>
        <v>0</v>
      </c>
      <c r="F86" s="70">
        <f>SUM(B86:E86)</f>
        <v>0</v>
      </c>
      <c r="G86" s="132">
        <f>SUM(G84:G85)</f>
        <v>0</v>
      </c>
      <c r="H86" s="132">
        <f>SUM(H84:H85)</f>
        <v>0</v>
      </c>
      <c r="I86" s="132">
        <f>SUM(I84:I85)</f>
        <v>0</v>
      </c>
      <c r="J86" s="132">
        <f>SUM(J84:J85)</f>
        <v>0</v>
      </c>
      <c r="K86" s="70">
        <f>SUM(G86:J86)</f>
        <v>0</v>
      </c>
    </row>
    <row r="87" spans="1:11" ht="12.75" hidden="1" customHeight="1" outlineLevel="1" x14ac:dyDescent="0.2"/>
    <row r="88" spans="1:11" ht="12.75" hidden="1" customHeight="1" outlineLevel="1" collapsed="1" x14ac:dyDescent="0.2"/>
    <row r="89" spans="1:11" ht="12.75" customHeight="1" collapsed="1" x14ac:dyDescent="0.2"/>
    <row r="90" spans="1:11" ht="12.75" customHeight="1" x14ac:dyDescent="0.2">
      <c r="A90" s="271" t="str">
        <f>"Sales Detail by Subproject and Product"</f>
        <v>Sales Detail by Subproject and Product</v>
      </c>
      <c r="B90" s="271"/>
      <c r="C90" s="271"/>
    </row>
    <row r="91" spans="1:11" ht="12.75" hidden="1" customHeight="1" outlineLevel="1" x14ac:dyDescent="0.2">
      <c r="A91" s="271" t="str">
        <f>""</f>
        <v/>
      </c>
      <c r="B91" s="271"/>
      <c r="C91" s="271"/>
    </row>
    <row r="92" spans="1:11" ht="12.75" hidden="1" customHeight="1" outlineLevel="1" x14ac:dyDescent="0.2">
      <c r="B92" s="17" t="str">
        <f>'(FnCalls 1)'!G7</f>
        <v>Q1 2011</v>
      </c>
      <c r="C92" s="18" t="str">
        <f>'(FnCalls 1)'!G8</f>
        <v>Q2 2011</v>
      </c>
      <c r="D92" s="18" t="str">
        <f>'(FnCalls 1)'!G9</f>
        <v>Q3 2011</v>
      </c>
      <c r="E92" s="18" t="str">
        <f>'(FnCalls 1)'!G10</f>
        <v>Q4 2011</v>
      </c>
      <c r="F92" s="62" t="str">
        <f>'(FnCalls 1)'!H7</f>
        <v>2011</v>
      </c>
      <c r="G92" s="18" t="str">
        <f>'(FnCalls 1)'!G11</f>
        <v>Q1 2012</v>
      </c>
      <c r="H92" s="18" t="str">
        <f>'(FnCalls 1)'!G12</f>
        <v>Q2 2012</v>
      </c>
      <c r="I92" s="18" t="str">
        <f>'(FnCalls 1)'!G13</f>
        <v>Q3 2012</v>
      </c>
      <c r="J92" s="18" t="str">
        <f>'(FnCalls 1)'!G14</f>
        <v>Q4 2012</v>
      </c>
      <c r="K92" s="62" t="str">
        <f>'(FnCalls 1)'!H11</f>
        <v>2012</v>
      </c>
    </row>
    <row r="93" spans="1:11" ht="12.75" hidden="1" customHeight="1" outlineLevel="1" x14ac:dyDescent="0.2">
      <c r="A93" s="111" t="str">
        <f>Labels!B98</f>
        <v>Revenue</v>
      </c>
      <c r="B93" s="110"/>
      <c r="C93" s="110"/>
      <c r="D93" s="110"/>
      <c r="E93" s="110"/>
      <c r="F93" s="75"/>
      <c r="G93" s="110"/>
      <c r="H93" s="110"/>
      <c r="I93" s="110"/>
      <c r="J93" s="110"/>
      <c r="K93" s="75"/>
    </row>
    <row r="94" spans="1:11" ht="12.75" hidden="1" customHeight="1" outlineLevel="1" x14ac:dyDescent="0.2">
      <c r="A94" s="114" t="str">
        <f>"   "&amp;Labels!B182</f>
        <v xml:space="preserve">   Catamarans</v>
      </c>
      <c r="B94" s="113"/>
      <c r="C94" s="113"/>
      <c r="D94" s="113"/>
      <c r="E94" s="113"/>
      <c r="F94" s="69"/>
      <c r="G94" s="113"/>
      <c r="H94" s="113"/>
      <c r="I94" s="113"/>
      <c r="J94" s="113"/>
      <c r="K94" s="69"/>
    </row>
    <row r="95" spans="1:11" ht="12.75" hidden="1" customHeight="1" outlineLevel="1" x14ac:dyDescent="0.2">
      <c r="A95" s="144" t="str">
        <f>"      "&amp;Labels!B174</f>
        <v xml:space="preserve">      Product 1</v>
      </c>
      <c r="B95" s="116">
        <f>Inputs!E67</f>
        <v>0</v>
      </c>
      <c r="C95" s="116">
        <f>Inputs!F67</f>
        <v>0</v>
      </c>
      <c r="D95" s="116">
        <f>Inputs!G67</f>
        <v>0</v>
      </c>
      <c r="E95" s="116">
        <f>Inputs!H67</f>
        <v>0</v>
      </c>
      <c r="F95" s="69">
        <f>SUM(B95:E95)</f>
        <v>0</v>
      </c>
      <c r="G95" s="116">
        <f>Inputs!J67</f>
        <v>0</v>
      </c>
      <c r="H95" s="116">
        <f>Inputs!K67</f>
        <v>0</v>
      </c>
      <c r="I95" s="116">
        <f>Inputs!L67</f>
        <v>0</v>
      </c>
      <c r="J95" s="116">
        <f>Inputs!M67</f>
        <v>0</v>
      </c>
      <c r="K95" s="69">
        <f>SUM(G95:J95)</f>
        <v>0</v>
      </c>
    </row>
    <row r="96" spans="1:11" ht="12.75" hidden="1" customHeight="1" outlineLevel="1" x14ac:dyDescent="0.2">
      <c r="A96" s="114" t="str">
        <f>"      "&amp;Labels!C173</f>
        <v xml:space="preserve">      Total</v>
      </c>
      <c r="B96" s="113">
        <f>Inputs!E67</f>
        <v>0</v>
      </c>
      <c r="C96" s="113">
        <f>Inputs!F67</f>
        <v>0</v>
      </c>
      <c r="D96" s="113">
        <f>Inputs!G67</f>
        <v>0</v>
      </c>
      <c r="E96" s="113">
        <f>Inputs!H67</f>
        <v>0</v>
      </c>
      <c r="F96" s="69">
        <f>SUM(B96:E96)</f>
        <v>0</v>
      </c>
      <c r="G96" s="113">
        <f>Inputs!J67</f>
        <v>0</v>
      </c>
      <c r="H96" s="113">
        <f>Inputs!K67</f>
        <v>0</v>
      </c>
      <c r="I96" s="113">
        <f>Inputs!L67</f>
        <v>0</v>
      </c>
      <c r="J96" s="113">
        <f>Inputs!M67</f>
        <v>0</v>
      </c>
      <c r="K96" s="69">
        <f>SUM(G96:J96)</f>
        <v>0</v>
      </c>
    </row>
    <row r="97" spans="1:11" ht="12.75" hidden="1" customHeight="1" outlineLevel="1" x14ac:dyDescent="0.2">
      <c r="A97" s="114" t="str">
        <f>"   "&amp;Labels!B183</f>
        <v xml:space="preserve">   Canoes</v>
      </c>
      <c r="B97" s="113"/>
      <c r="C97" s="113"/>
      <c r="D97" s="113"/>
      <c r="E97" s="113"/>
      <c r="F97" s="69"/>
      <c r="G97" s="113"/>
      <c r="H97" s="113"/>
      <c r="I97" s="113"/>
      <c r="J97" s="113"/>
      <c r="K97" s="69"/>
    </row>
    <row r="98" spans="1:11" ht="12.75" hidden="1" customHeight="1" outlineLevel="1" x14ac:dyDescent="0.2">
      <c r="A98" s="144" t="str">
        <f>"      "&amp;Labels!B174</f>
        <v xml:space="preserve">      Product 1</v>
      </c>
      <c r="B98" s="116">
        <f>Inputs!E68</f>
        <v>0</v>
      </c>
      <c r="C98" s="116">
        <f>Inputs!F68</f>
        <v>0</v>
      </c>
      <c r="D98" s="116">
        <f>Inputs!G68</f>
        <v>0</v>
      </c>
      <c r="E98" s="116">
        <f>Inputs!H68</f>
        <v>0</v>
      </c>
      <c r="F98" s="69">
        <f>SUM(B98:E98)</f>
        <v>0</v>
      </c>
      <c r="G98" s="116">
        <f>Inputs!J68</f>
        <v>0</v>
      </c>
      <c r="H98" s="116">
        <f>Inputs!K68</f>
        <v>0</v>
      </c>
      <c r="I98" s="116">
        <f>Inputs!L68</f>
        <v>0</v>
      </c>
      <c r="J98" s="116">
        <f>Inputs!M68</f>
        <v>0</v>
      </c>
      <c r="K98" s="69">
        <f>SUM(G98:J98)</f>
        <v>0</v>
      </c>
    </row>
    <row r="99" spans="1:11" ht="12.75" hidden="1" customHeight="1" outlineLevel="1" x14ac:dyDescent="0.2">
      <c r="A99" s="114" t="str">
        <f>"      "&amp;Labels!C173</f>
        <v xml:space="preserve">      Total</v>
      </c>
      <c r="B99" s="113">
        <f>Inputs!E68</f>
        <v>0</v>
      </c>
      <c r="C99" s="113">
        <f>Inputs!F68</f>
        <v>0</v>
      </c>
      <c r="D99" s="113">
        <f>Inputs!G68</f>
        <v>0</v>
      </c>
      <c r="E99" s="113">
        <f>Inputs!H68</f>
        <v>0</v>
      </c>
      <c r="F99" s="69">
        <f>SUM(B99:E99)</f>
        <v>0</v>
      </c>
      <c r="G99" s="113">
        <f>Inputs!J68</f>
        <v>0</v>
      </c>
      <c r="H99" s="113">
        <f>Inputs!K68</f>
        <v>0</v>
      </c>
      <c r="I99" s="113">
        <f>Inputs!L68</f>
        <v>0</v>
      </c>
      <c r="J99" s="113">
        <f>Inputs!M68</f>
        <v>0</v>
      </c>
      <c r="K99" s="69">
        <f>SUM(G99:J99)</f>
        <v>0</v>
      </c>
    </row>
    <row r="100" spans="1:11" ht="12.75" hidden="1" customHeight="1" outlineLevel="1" x14ac:dyDescent="0.2">
      <c r="A100" s="117" t="str">
        <f>"   "&amp;Labels!C181</f>
        <v xml:space="preserve">   Total</v>
      </c>
      <c r="B100" s="120">
        <f>SUM(B96,B99)</f>
        <v>0</v>
      </c>
      <c r="C100" s="120">
        <f>SUM(C96,C99)</f>
        <v>0</v>
      </c>
      <c r="D100" s="120">
        <f>SUM(D96,D99)</f>
        <v>0</v>
      </c>
      <c r="E100" s="120">
        <f>SUM(E96,E99)</f>
        <v>0</v>
      </c>
      <c r="F100" s="69">
        <f>SUM(B100:E100)</f>
        <v>0</v>
      </c>
      <c r="G100" s="120">
        <f>SUM(G96,G99)</f>
        <v>0</v>
      </c>
      <c r="H100" s="120">
        <f>SUM(H96,H99)</f>
        <v>0</v>
      </c>
      <c r="I100" s="120">
        <f>SUM(I96,I99)</f>
        <v>0</v>
      </c>
      <c r="J100" s="120">
        <f>SUM(J96,J99)</f>
        <v>0</v>
      </c>
      <c r="K100" s="69">
        <f>SUM(G100:J100)</f>
        <v>0</v>
      </c>
    </row>
    <row r="101" spans="1:11" ht="12.75" hidden="1" customHeight="1" outlineLevel="1" x14ac:dyDescent="0.2">
      <c r="A101" s="144" t="str">
        <f>"      "&amp;Labels!B174</f>
        <v xml:space="preserve">      Product 1</v>
      </c>
      <c r="B101" s="116">
        <f t="shared" ref="B101:E102" si="10">SUM(B95,B98)</f>
        <v>0</v>
      </c>
      <c r="C101" s="116">
        <f t="shared" si="10"/>
        <v>0</v>
      </c>
      <c r="D101" s="116">
        <f t="shared" si="10"/>
        <v>0</v>
      </c>
      <c r="E101" s="116">
        <f t="shared" si="10"/>
        <v>0</v>
      </c>
      <c r="F101" s="69">
        <f>SUM(B101:E101)</f>
        <v>0</v>
      </c>
      <c r="G101" s="116">
        <f t="shared" ref="G101:J102" si="11">SUM(G95,G98)</f>
        <v>0</v>
      </c>
      <c r="H101" s="116">
        <f t="shared" si="11"/>
        <v>0</v>
      </c>
      <c r="I101" s="116">
        <f t="shared" si="11"/>
        <v>0</v>
      </c>
      <c r="J101" s="116">
        <f t="shared" si="11"/>
        <v>0</v>
      </c>
      <c r="K101" s="69">
        <f>SUM(G101:J101)</f>
        <v>0</v>
      </c>
    </row>
    <row r="102" spans="1:11" ht="12.75" hidden="1" customHeight="1" outlineLevel="1" x14ac:dyDescent="0.2">
      <c r="A102" s="114" t="str">
        <f>"      "&amp;Labels!C173</f>
        <v xml:space="preserve">      Total</v>
      </c>
      <c r="B102" s="113">
        <f t="shared" si="10"/>
        <v>0</v>
      </c>
      <c r="C102" s="113">
        <f t="shared" si="10"/>
        <v>0</v>
      </c>
      <c r="D102" s="113">
        <f t="shared" si="10"/>
        <v>0</v>
      </c>
      <c r="E102" s="113">
        <f t="shared" si="10"/>
        <v>0</v>
      </c>
      <c r="F102" s="69">
        <f>SUM(B100:E100)</f>
        <v>0</v>
      </c>
      <c r="G102" s="113">
        <f t="shared" si="11"/>
        <v>0</v>
      </c>
      <c r="H102" s="113">
        <f t="shared" si="11"/>
        <v>0</v>
      </c>
      <c r="I102" s="113">
        <f t="shared" si="11"/>
        <v>0</v>
      </c>
      <c r="J102" s="113">
        <f t="shared" si="11"/>
        <v>0</v>
      </c>
      <c r="K102" s="69">
        <f>SUM(G100:J100)</f>
        <v>0</v>
      </c>
    </row>
    <row r="103" spans="1:11" ht="12.75" hidden="1" customHeight="1" outlineLevel="1" x14ac:dyDescent="0.2">
      <c r="A103" s="12"/>
      <c r="B103" s="10"/>
      <c r="C103" s="10"/>
      <c r="D103" s="10"/>
      <c r="E103" s="10"/>
      <c r="F103" s="12"/>
      <c r="G103" s="10"/>
      <c r="H103" s="10"/>
      <c r="I103" s="10"/>
      <c r="J103" s="10"/>
      <c r="K103" s="12"/>
    </row>
    <row r="104" spans="1:11" ht="12.75" hidden="1" customHeight="1" outlineLevel="1" x14ac:dyDescent="0.2">
      <c r="A104" s="117" t="str">
        <f>Labels!B104</f>
        <v>Sales Units</v>
      </c>
      <c r="B104" s="153"/>
      <c r="C104" s="153"/>
      <c r="D104" s="153"/>
      <c r="E104" s="153"/>
      <c r="F104" s="154"/>
      <c r="G104" s="153"/>
      <c r="H104" s="153"/>
      <c r="I104" s="153"/>
      <c r="J104" s="153"/>
      <c r="K104" s="154"/>
    </row>
    <row r="105" spans="1:11" ht="12.75" hidden="1" customHeight="1" outlineLevel="1" x14ac:dyDescent="0.2">
      <c r="A105" s="114" t="str">
        <f>"   "&amp;Labels!B182</f>
        <v xml:space="preserve">   Catamarans</v>
      </c>
      <c r="B105" s="155"/>
      <c r="C105" s="155"/>
      <c r="D105" s="155"/>
      <c r="E105" s="155"/>
      <c r="F105" s="154"/>
      <c r="G105" s="155"/>
      <c r="H105" s="155"/>
      <c r="I105" s="155"/>
      <c r="J105" s="155"/>
      <c r="K105" s="154"/>
    </row>
    <row r="106" spans="1:11" ht="12.75" hidden="1" customHeight="1" outlineLevel="1" x14ac:dyDescent="0.2">
      <c r="A106" s="144" t="str">
        <f>"      "&amp;Labels!B174</f>
        <v xml:space="preserve">      Product 1</v>
      </c>
      <c r="B106" s="156">
        <f>Inputs!E63</f>
        <v>0</v>
      </c>
      <c r="C106" s="156">
        <f>Inputs!F63</f>
        <v>0</v>
      </c>
      <c r="D106" s="156">
        <f>Inputs!G63</f>
        <v>0</v>
      </c>
      <c r="E106" s="156">
        <f>Inputs!H63</f>
        <v>0</v>
      </c>
      <c r="F106" s="154">
        <f>SUM(B106:E106)</f>
        <v>0</v>
      </c>
      <c r="G106" s="156">
        <f>Inputs!J63</f>
        <v>0</v>
      </c>
      <c r="H106" s="156">
        <f>Inputs!K63</f>
        <v>0</v>
      </c>
      <c r="I106" s="156">
        <f>Inputs!L63</f>
        <v>0</v>
      </c>
      <c r="J106" s="156">
        <f>Inputs!M63</f>
        <v>0</v>
      </c>
      <c r="K106" s="154">
        <f>SUM(G106:J106)</f>
        <v>0</v>
      </c>
    </row>
    <row r="107" spans="1:11" ht="12.75" hidden="1" customHeight="1" outlineLevel="1" x14ac:dyDescent="0.2">
      <c r="A107" s="114" t="str">
        <f>"      "&amp;Labels!C173</f>
        <v xml:space="preserve">      Total</v>
      </c>
      <c r="B107" s="155">
        <f>Inputs!E63</f>
        <v>0</v>
      </c>
      <c r="C107" s="155">
        <f>Inputs!F63</f>
        <v>0</v>
      </c>
      <c r="D107" s="155">
        <f>Inputs!G63</f>
        <v>0</v>
      </c>
      <c r="E107" s="155">
        <f>Inputs!H63</f>
        <v>0</v>
      </c>
      <c r="F107" s="154">
        <f>SUM(B107:E107)</f>
        <v>0</v>
      </c>
      <c r="G107" s="155">
        <f>Inputs!J63</f>
        <v>0</v>
      </c>
      <c r="H107" s="155">
        <f>Inputs!K63</f>
        <v>0</v>
      </c>
      <c r="I107" s="155">
        <f>Inputs!L63</f>
        <v>0</v>
      </c>
      <c r="J107" s="155">
        <f>Inputs!M63</f>
        <v>0</v>
      </c>
      <c r="K107" s="154">
        <f>SUM(G107:J107)</f>
        <v>0</v>
      </c>
    </row>
    <row r="108" spans="1:11" ht="12.75" hidden="1" customHeight="1" outlineLevel="1" x14ac:dyDescent="0.2">
      <c r="A108" s="114" t="str">
        <f>"   "&amp;Labels!B183</f>
        <v xml:space="preserve">   Canoes</v>
      </c>
      <c r="B108" s="155"/>
      <c r="C108" s="155"/>
      <c r="D108" s="155"/>
      <c r="E108" s="155"/>
      <c r="F108" s="154"/>
      <c r="G108" s="155"/>
      <c r="H108" s="155"/>
      <c r="I108" s="155"/>
      <c r="J108" s="155"/>
      <c r="K108" s="154"/>
    </row>
    <row r="109" spans="1:11" ht="12.75" hidden="1" customHeight="1" outlineLevel="1" x14ac:dyDescent="0.2">
      <c r="A109" s="144" t="str">
        <f>"      "&amp;Labels!B174</f>
        <v xml:space="preserve">      Product 1</v>
      </c>
      <c r="B109" s="156">
        <f>Inputs!E64</f>
        <v>0</v>
      </c>
      <c r="C109" s="156">
        <f>Inputs!F64</f>
        <v>0</v>
      </c>
      <c r="D109" s="156">
        <f>Inputs!G64</f>
        <v>0</v>
      </c>
      <c r="E109" s="156">
        <f>Inputs!H64</f>
        <v>0</v>
      </c>
      <c r="F109" s="154">
        <f>SUM(B109:E109)</f>
        <v>0</v>
      </c>
      <c r="G109" s="156">
        <f>Inputs!J64</f>
        <v>0</v>
      </c>
      <c r="H109" s="156">
        <f>Inputs!K64</f>
        <v>0</v>
      </c>
      <c r="I109" s="156">
        <f>Inputs!L64</f>
        <v>0</v>
      </c>
      <c r="J109" s="156">
        <f>Inputs!M64</f>
        <v>0</v>
      </c>
      <c r="K109" s="154">
        <f>SUM(G109:J109)</f>
        <v>0</v>
      </c>
    </row>
    <row r="110" spans="1:11" ht="12.75" hidden="1" customHeight="1" outlineLevel="1" x14ac:dyDescent="0.2">
      <c r="A110" s="114" t="str">
        <f>"      "&amp;Labels!C173</f>
        <v xml:space="preserve">      Total</v>
      </c>
      <c r="B110" s="155">
        <f>Inputs!E64</f>
        <v>0</v>
      </c>
      <c r="C110" s="155">
        <f>Inputs!F64</f>
        <v>0</v>
      </c>
      <c r="D110" s="155">
        <f>Inputs!G64</f>
        <v>0</v>
      </c>
      <c r="E110" s="155">
        <f>Inputs!H64</f>
        <v>0</v>
      </c>
      <c r="F110" s="154">
        <f>SUM(B110:E110)</f>
        <v>0</v>
      </c>
      <c r="G110" s="155">
        <f>Inputs!J64</f>
        <v>0</v>
      </c>
      <c r="H110" s="155">
        <f>Inputs!K64</f>
        <v>0</v>
      </c>
      <c r="I110" s="155">
        <f>Inputs!L64</f>
        <v>0</v>
      </c>
      <c r="J110" s="155">
        <f>Inputs!M64</f>
        <v>0</v>
      </c>
      <c r="K110" s="154">
        <f>SUM(G110:J110)</f>
        <v>0</v>
      </c>
    </row>
    <row r="111" spans="1:11" ht="12.75" hidden="1" customHeight="1" outlineLevel="1" x14ac:dyDescent="0.2">
      <c r="A111" s="117" t="str">
        <f>"   "&amp;Labels!C181</f>
        <v xml:space="preserve">   Total</v>
      </c>
      <c r="B111" s="153">
        <f>SUM(B107,B110)</f>
        <v>0</v>
      </c>
      <c r="C111" s="153">
        <f>SUM(C107,C110)</f>
        <v>0</v>
      </c>
      <c r="D111" s="153">
        <f>SUM(D107,D110)</f>
        <v>0</v>
      </c>
      <c r="E111" s="153">
        <f>SUM(E107,E110)</f>
        <v>0</v>
      </c>
      <c r="F111" s="154">
        <f>SUM(B111:E111)</f>
        <v>0</v>
      </c>
      <c r="G111" s="153">
        <f>SUM(G107,G110)</f>
        <v>0</v>
      </c>
      <c r="H111" s="153">
        <f>SUM(H107,H110)</f>
        <v>0</v>
      </c>
      <c r="I111" s="153">
        <f>SUM(I107,I110)</f>
        <v>0</v>
      </c>
      <c r="J111" s="153">
        <f>SUM(J107,J110)</f>
        <v>0</v>
      </c>
      <c r="K111" s="154">
        <f>SUM(G111:J111)</f>
        <v>0</v>
      </c>
    </row>
    <row r="112" spans="1:11" ht="12.75" hidden="1" customHeight="1" outlineLevel="1" x14ac:dyDescent="0.2">
      <c r="A112" s="144" t="str">
        <f>"      "&amp;Labels!B174</f>
        <v xml:space="preserve">      Product 1</v>
      </c>
      <c r="B112" s="156">
        <f t="shared" ref="B112:E113" si="12">SUM(B106,B109)</f>
        <v>0</v>
      </c>
      <c r="C112" s="156">
        <f t="shared" si="12"/>
        <v>0</v>
      </c>
      <c r="D112" s="156">
        <f t="shared" si="12"/>
        <v>0</v>
      </c>
      <c r="E112" s="156">
        <f t="shared" si="12"/>
        <v>0</v>
      </c>
      <c r="F112" s="154">
        <f>SUM(B112:E112)</f>
        <v>0</v>
      </c>
      <c r="G112" s="156">
        <f t="shared" ref="G112:J113" si="13">SUM(G106,G109)</f>
        <v>0</v>
      </c>
      <c r="H112" s="156">
        <f t="shared" si="13"/>
        <v>0</v>
      </c>
      <c r="I112" s="156">
        <f t="shared" si="13"/>
        <v>0</v>
      </c>
      <c r="J112" s="156">
        <f t="shared" si="13"/>
        <v>0</v>
      </c>
      <c r="K112" s="154">
        <f>SUM(G112:J112)</f>
        <v>0</v>
      </c>
    </row>
    <row r="113" spans="1:11" ht="12.75" hidden="1" customHeight="1" outlineLevel="1" x14ac:dyDescent="0.2">
      <c r="A113" s="145" t="str">
        <f>"      "&amp;Labels!C173</f>
        <v xml:space="preserve">      Total</v>
      </c>
      <c r="B113" s="157">
        <f t="shared" si="12"/>
        <v>0</v>
      </c>
      <c r="C113" s="157">
        <f t="shared" si="12"/>
        <v>0</v>
      </c>
      <c r="D113" s="157">
        <f t="shared" si="12"/>
        <v>0</v>
      </c>
      <c r="E113" s="157">
        <f t="shared" si="12"/>
        <v>0</v>
      </c>
      <c r="F113" s="74">
        <f>SUM(B111:E111)</f>
        <v>0</v>
      </c>
      <c r="G113" s="157">
        <f t="shared" si="13"/>
        <v>0</v>
      </c>
      <c r="H113" s="157">
        <f t="shared" si="13"/>
        <v>0</v>
      </c>
      <c r="I113" s="157">
        <f t="shared" si="13"/>
        <v>0</v>
      </c>
      <c r="J113" s="157">
        <f t="shared" si="13"/>
        <v>0</v>
      </c>
      <c r="K113" s="74">
        <f>SUM(G111:J111)</f>
        <v>0</v>
      </c>
    </row>
    <row r="114" spans="1:11" ht="12.75" hidden="1" customHeight="1" outlineLevel="1" x14ac:dyDescent="0.2"/>
    <row r="115" spans="1:11" ht="12.75" hidden="1" customHeight="1" outlineLevel="1" x14ac:dyDescent="0.2">
      <c r="A115" s="111" t="str">
        <f>Labels!B94</f>
        <v>Average Price</v>
      </c>
      <c r="B115" s="110"/>
      <c r="C115" s="110"/>
      <c r="D115" s="110"/>
      <c r="E115" s="110"/>
      <c r="F115" s="75"/>
      <c r="G115" s="110"/>
      <c r="H115" s="110"/>
      <c r="I115" s="110"/>
      <c r="J115" s="110"/>
      <c r="K115" s="75"/>
    </row>
    <row r="116" spans="1:11" ht="12.75" hidden="1" customHeight="1" outlineLevel="1" x14ac:dyDescent="0.2">
      <c r="A116" s="114" t="str">
        <f>"   "&amp;Labels!B182</f>
        <v xml:space="preserve">   Catamarans</v>
      </c>
      <c r="B116" s="113"/>
      <c r="C116" s="113"/>
      <c r="D116" s="113"/>
      <c r="E116" s="113"/>
      <c r="F116" s="69"/>
      <c r="G116" s="113"/>
      <c r="H116" s="113"/>
      <c r="I116" s="113"/>
      <c r="J116" s="113"/>
      <c r="K116" s="69"/>
    </row>
    <row r="117" spans="1:11" ht="12.75" hidden="1" customHeight="1" outlineLevel="1" x14ac:dyDescent="0.2">
      <c r="A117" s="144" t="str">
        <f>"      "&amp;Labels!B174</f>
        <v xml:space="preserve">      Product 1</v>
      </c>
      <c r="B117" s="116">
        <f>Inputs!E57</f>
        <v>0</v>
      </c>
      <c r="C117" s="116">
        <f>Inputs!F57</f>
        <v>0</v>
      </c>
      <c r="D117" s="116">
        <f>Inputs!G57</f>
        <v>0</v>
      </c>
      <c r="E117" s="116">
        <f>Inputs!H57</f>
        <v>0</v>
      </c>
      <c r="F117" s="69">
        <f>IF(SUM(B106:E106)=0,0,SUM(B95:E95)/SUM(B106:E106))</f>
        <v>0</v>
      </c>
      <c r="G117" s="116">
        <f>Inputs!J57</f>
        <v>0</v>
      </c>
      <c r="H117" s="116">
        <f>Inputs!K57</f>
        <v>0</v>
      </c>
      <c r="I117" s="116">
        <f>Inputs!L57</f>
        <v>0</v>
      </c>
      <c r="J117" s="116">
        <f>Inputs!M57</f>
        <v>0</v>
      </c>
      <c r="K117" s="69">
        <f>IF(SUM(G106:J106)=0,0,SUM(G95:J95)/SUM(G106:J106))</f>
        <v>0</v>
      </c>
    </row>
    <row r="118" spans="1:11" ht="12.75" hidden="1" customHeight="1" outlineLevel="1" x14ac:dyDescent="0.2">
      <c r="A118" s="114" t="str">
        <f>"      "&amp;Labels!C173</f>
        <v xml:space="preserve">      Total</v>
      </c>
      <c r="B118" s="113">
        <f>IF(B107=0,0,B31/B107)</f>
        <v>0</v>
      </c>
      <c r="C118" s="113">
        <f>IF(C107=0,0,C31/C107)</f>
        <v>0</v>
      </c>
      <c r="D118" s="113">
        <f>IF(D107=0,0,D31/D107)</f>
        <v>0</v>
      </c>
      <c r="E118" s="113">
        <f>IF(E107=0,0,E31/E107)</f>
        <v>0</v>
      </c>
      <c r="F118" s="69">
        <f>IF(SUM(B107:E107)=0,0,SUM(B31:E31)/SUM(B107:E107))</f>
        <v>0</v>
      </c>
      <c r="G118" s="113">
        <f>IF(G107=0,0,G31/G107)</f>
        <v>0</v>
      </c>
      <c r="H118" s="113">
        <f>IF(H107=0,0,H31/H107)</f>
        <v>0</v>
      </c>
      <c r="I118" s="113">
        <f>IF(I107=0,0,I31/I107)</f>
        <v>0</v>
      </c>
      <c r="J118" s="113">
        <f>IF(J107=0,0,J31/J107)</f>
        <v>0</v>
      </c>
      <c r="K118" s="69">
        <f>IF(SUM(G107:J107)=0,0,SUM(G31:J31)/SUM(G107:J107))</f>
        <v>0</v>
      </c>
    </row>
    <row r="119" spans="1:11" ht="12.75" hidden="1" customHeight="1" outlineLevel="1" x14ac:dyDescent="0.2">
      <c r="A119" s="114" t="str">
        <f>"   "&amp;Labels!B183</f>
        <v xml:space="preserve">   Canoes</v>
      </c>
      <c r="B119" s="113"/>
      <c r="C119" s="113"/>
      <c r="D119" s="113"/>
      <c r="E119" s="113"/>
      <c r="F119" s="69"/>
      <c r="G119" s="113"/>
      <c r="H119" s="113"/>
      <c r="I119" s="113"/>
      <c r="J119" s="113"/>
      <c r="K119" s="69"/>
    </row>
    <row r="120" spans="1:11" ht="12.75" hidden="1" customHeight="1" outlineLevel="1" x14ac:dyDescent="0.2">
      <c r="A120" s="144" t="str">
        <f>"      "&amp;Labels!B174</f>
        <v xml:space="preserve">      Product 1</v>
      </c>
      <c r="B120" s="116">
        <f>Inputs!E58</f>
        <v>0</v>
      </c>
      <c r="C120" s="116">
        <f>Inputs!F58</f>
        <v>0</v>
      </c>
      <c r="D120" s="116">
        <f>Inputs!G58</f>
        <v>0</v>
      </c>
      <c r="E120" s="116">
        <f>Inputs!H58</f>
        <v>0</v>
      </c>
      <c r="F120" s="69">
        <f>IF(SUM(B109:E109)=0,0,SUM(B98:E98)/SUM(B109:E109))</f>
        <v>0</v>
      </c>
      <c r="G120" s="116">
        <f>Inputs!J58</f>
        <v>0</v>
      </c>
      <c r="H120" s="116">
        <f>Inputs!K58</f>
        <v>0</v>
      </c>
      <c r="I120" s="116">
        <f>Inputs!L58</f>
        <v>0</v>
      </c>
      <c r="J120" s="116">
        <f>Inputs!M58</f>
        <v>0</v>
      </c>
      <c r="K120" s="69">
        <f>IF(SUM(G109:J109)=0,0,SUM(G98:J98)/SUM(G109:J109))</f>
        <v>0</v>
      </c>
    </row>
    <row r="121" spans="1:11" ht="12.75" hidden="1" customHeight="1" outlineLevel="1" x14ac:dyDescent="0.2">
      <c r="A121" s="114" t="str">
        <f>"      "&amp;Labels!C173</f>
        <v xml:space="preserve">      Total</v>
      </c>
      <c r="B121" s="113">
        <f>IF(B110=0,0,B32/B110)</f>
        <v>0</v>
      </c>
      <c r="C121" s="113">
        <f>IF(C110=0,0,C32/C110)</f>
        <v>0</v>
      </c>
      <c r="D121" s="113">
        <f>IF(D110=0,0,D32/D110)</f>
        <v>0</v>
      </c>
      <c r="E121" s="113">
        <f>IF(E110=0,0,E32/E110)</f>
        <v>0</v>
      </c>
      <c r="F121" s="69">
        <f>IF(SUM(B110:E110)=0,0,SUM(B32:E32)/SUM(B110:E110))</f>
        <v>0</v>
      </c>
      <c r="G121" s="113">
        <f>IF(G110=0,0,G32/G110)</f>
        <v>0</v>
      </c>
      <c r="H121" s="113">
        <f>IF(H110=0,0,H32/H110)</f>
        <v>0</v>
      </c>
      <c r="I121" s="113">
        <f>IF(I110=0,0,I32/I110)</f>
        <v>0</v>
      </c>
      <c r="J121" s="113">
        <f>IF(J110=0,0,J32/J110)</f>
        <v>0</v>
      </c>
      <c r="K121" s="69">
        <f>IF(SUM(G110:J110)=0,0,SUM(G32:J32)/SUM(G110:J110))</f>
        <v>0</v>
      </c>
    </row>
    <row r="122" spans="1:11" ht="12.75" hidden="1" customHeight="1" outlineLevel="1" x14ac:dyDescent="0.2">
      <c r="A122" s="117" t="str">
        <f>"   "&amp;Labels!C181</f>
        <v xml:space="preserve">   Total</v>
      </c>
      <c r="B122" s="120">
        <f>IF(B111=0,0,B8/B111)</f>
        <v>0</v>
      </c>
      <c r="C122" s="120">
        <f>IF(C111=0,0,C8/C111)</f>
        <v>0</v>
      </c>
      <c r="D122" s="120">
        <f>IF(D111=0,0,D8/D111)</f>
        <v>0</v>
      </c>
      <c r="E122" s="120">
        <f>IF(E111=0,0,E8/E111)</f>
        <v>0</v>
      </c>
      <c r="F122" s="69">
        <f>IF(SUM(B111:E111)=0,0,SUM(B8:E8)/SUM(B111:E111))</f>
        <v>0</v>
      </c>
      <c r="G122" s="120">
        <f>IF(G111=0,0,G8/G111)</f>
        <v>0</v>
      </c>
      <c r="H122" s="120">
        <f>IF(H111=0,0,H8/H111)</f>
        <v>0</v>
      </c>
      <c r="I122" s="120">
        <f>IF(I111=0,0,I8/I111)</f>
        <v>0</v>
      </c>
      <c r="J122" s="120">
        <f>IF(J111=0,0,J8/J111)</f>
        <v>0</v>
      </c>
      <c r="K122" s="69">
        <f>IF(SUM(G111:J111)=0,0,SUM(G8:J8)/SUM(G111:J111))</f>
        <v>0</v>
      </c>
    </row>
    <row r="123" spans="1:11" ht="12.75" hidden="1" customHeight="1" outlineLevel="1" x14ac:dyDescent="0.2">
      <c r="A123" s="144" t="str">
        <f>"      "&amp;Labels!B174</f>
        <v xml:space="preserve">      Product 1</v>
      </c>
      <c r="B123" s="116">
        <f>IF(B112=0,0,B101/B112)</f>
        <v>0</v>
      </c>
      <c r="C123" s="116">
        <f>IF(C112=0,0,C101/C112)</f>
        <v>0</v>
      </c>
      <c r="D123" s="116">
        <f>IF(D112=0,0,D101/D112)</f>
        <v>0</v>
      </c>
      <c r="E123" s="116">
        <f>IF(E112=0,0,E101/E112)</f>
        <v>0</v>
      </c>
      <c r="F123" s="69">
        <f>IF(SUM(B112:E112)=0,0,SUM(B101:E101)/SUM(B112:E112))</f>
        <v>0</v>
      </c>
      <c r="G123" s="116">
        <f>IF(G112=0,0,G101/G112)</f>
        <v>0</v>
      </c>
      <c r="H123" s="116">
        <f>IF(H112=0,0,H101/H112)</f>
        <v>0</v>
      </c>
      <c r="I123" s="116">
        <f>IF(I112=0,0,I101/I112)</f>
        <v>0</v>
      </c>
      <c r="J123" s="116">
        <f>IF(J112=0,0,J101/J112)</f>
        <v>0</v>
      </c>
      <c r="K123" s="69">
        <f>IF(SUM(G112:J112)=0,0,SUM(G101:J101)/SUM(G112:J112))</f>
        <v>0</v>
      </c>
    </row>
    <row r="124" spans="1:11" ht="12.75" hidden="1" customHeight="1" outlineLevel="1" x14ac:dyDescent="0.2">
      <c r="A124" s="145" t="str">
        <f>"      "&amp;Labels!C173</f>
        <v xml:space="preserve">      Total</v>
      </c>
      <c r="B124" s="123">
        <f>IF(B111=0,0,B8/B111)</f>
        <v>0</v>
      </c>
      <c r="C124" s="123">
        <f>IF(C111=0,0,C8/C111)</f>
        <v>0</v>
      </c>
      <c r="D124" s="123">
        <f>IF(D111=0,0,D8/D111)</f>
        <v>0</v>
      </c>
      <c r="E124" s="123">
        <f>IF(E111=0,0,E8/E111)</f>
        <v>0</v>
      </c>
      <c r="F124" s="70">
        <f>IF(SUM(B111:E111)=0,0,SUM(B8:E8)/SUM(B111:E111))</f>
        <v>0</v>
      </c>
      <c r="G124" s="123">
        <f>IF(G111=0,0,G8/G111)</f>
        <v>0</v>
      </c>
      <c r="H124" s="123">
        <f>IF(H111=0,0,H8/H111)</f>
        <v>0</v>
      </c>
      <c r="I124" s="123">
        <f>IF(I111=0,0,I8/I111)</f>
        <v>0</v>
      </c>
      <c r="J124" s="123">
        <f>IF(J111=0,0,J8/J111)</f>
        <v>0</v>
      </c>
      <c r="K124" s="70">
        <f>IF(SUM(G111:J111)=0,0,SUM(G8:J8)/SUM(G111:J111))</f>
        <v>0</v>
      </c>
    </row>
    <row r="125" spans="1:11" ht="12.75" hidden="1" customHeight="1" outlineLevel="1" x14ac:dyDescent="0.2"/>
    <row r="126" spans="1:11" ht="12.75" hidden="1" customHeight="1" outlineLevel="1" x14ac:dyDescent="0.2">
      <c r="A126" s="111" t="str">
        <f>Labels!B99</f>
        <v>Revenue Annualized Growth</v>
      </c>
      <c r="B126" s="146"/>
      <c r="C126" s="146"/>
      <c r="D126" s="146"/>
      <c r="E126" s="146"/>
      <c r="F126" s="65"/>
      <c r="G126" s="146"/>
      <c r="H126" s="146"/>
      <c r="I126" s="146"/>
      <c r="J126" s="146"/>
      <c r="K126" s="65"/>
    </row>
    <row r="127" spans="1:11" ht="12.75" hidden="1" customHeight="1" outlineLevel="1" x14ac:dyDescent="0.2">
      <c r="A127" s="114" t="str">
        <f>"   "&amp;Labels!B182</f>
        <v xml:space="preserve">   Catamarans</v>
      </c>
      <c r="B127" s="147"/>
      <c r="C127" s="147"/>
      <c r="D127" s="147"/>
      <c r="E127" s="147"/>
      <c r="F127" s="68"/>
      <c r="G127" s="147"/>
      <c r="H127" s="147"/>
      <c r="I127" s="147"/>
      <c r="J127" s="147"/>
      <c r="K127" s="68"/>
    </row>
    <row r="128" spans="1:11" ht="12.75" hidden="1" customHeight="1" outlineLevel="1" x14ac:dyDescent="0.2">
      <c r="A128" s="144" t="str">
        <f>"      "&amp;Labels!B174</f>
        <v xml:space="preserve">      Product 1</v>
      </c>
      <c r="B128" s="148"/>
      <c r="C128" s="148">
        <f>IF(B95=0,0,(C95/B95)^4-1)</f>
        <v>0</v>
      </c>
      <c r="D128" s="148">
        <f>IF(C95=0,0,(D95/C95)^4-1)</f>
        <v>0</v>
      </c>
      <c r="E128" s="148">
        <f>IF(D95=0,0,(E95/D95)^4-1)</f>
        <v>0</v>
      </c>
      <c r="F128" s="68">
        <f>IF(0=0,0,(SUM(B95:E95)/0)^1-1)</f>
        <v>0</v>
      </c>
      <c r="G128" s="148">
        <f>IF(E95=0,0,(G95/E95)^4-1)</f>
        <v>0</v>
      </c>
      <c r="H128" s="148">
        <f>IF(G95=0,0,(H95/G95)^4-1)</f>
        <v>0</v>
      </c>
      <c r="I128" s="148">
        <f>IF(H95=0,0,(I95/H95)^4-1)</f>
        <v>0</v>
      </c>
      <c r="J128" s="148">
        <f>IF(I95=0,0,(J95/I95)^4-1)</f>
        <v>0</v>
      </c>
      <c r="K128" s="68">
        <f>IF(SUM(B95:E95)=0,0,(SUM(G95:J95)/SUM(B95:E95))^1-1)</f>
        <v>0</v>
      </c>
    </row>
    <row r="129" spans="1:11" ht="12.75" hidden="1" customHeight="1" outlineLevel="1" x14ac:dyDescent="0.2">
      <c r="A129" s="114" t="str">
        <f>"      "&amp;Labels!C173</f>
        <v xml:space="preserve">      Total</v>
      </c>
      <c r="B129" s="147"/>
      <c r="C129" s="147">
        <f>IF(B31=0,0,(C31/B31)^4-1)</f>
        <v>0</v>
      </c>
      <c r="D129" s="147">
        <f>IF(C31=0,0,(D31/C31)^4-1)</f>
        <v>0</v>
      </c>
      <c r="E129" s="147">
        <f>IF(D31=0,0,(E31/D31)^4-1)</f>
        <v>0</v>
      </c>
      <c r="F129" s="68">
        <f>IF(0=0,0,(SUM(B31:E31)/0)^1-1)</f>
        <v>0</v>
      </c>
      <c r="G129" s="147">
        <f>IF(E31=0,0,(G31/E31)^4-1)</f>
        <v>0</v>
      </c>
      <c r="H129" s="147">
        <f>IF(G31=0,0,(H31/G31)^4-1)</f>
        <v>0</v>
      </c>
      <c r="I129" s="147">
        <f>IF(H31=0,0,(I31/H31)^4-1)</f>
        <v>0</v>
      </c>
      <c r="J129" s="147">
        <f>IF(I31=0,0,(J31/I31)^4-1)</f>
        <v>0</v>
      </c>
      <c r="K129" s="68">
        <f>IF(SUM(B31:E31)=0,0,(SUM(G31:J31)/SUM(B31:E31))^1-1)</f>
        <v>0</v>
      </c>
    </row>
    <row r="130" spans="1:11" ht="12.75" hidden="1" customHeight="1" outlineLevel="1" x14ac:dyDescent="0.2">
      <c r="A130" s="114" t="str">
        <f>"   "&amp;Labels!B183</f>
        <v xml:space="preserve">   Canoes</v>
      </c>
      <c r="B130" s="147"/>
      <c r="C130" s="147"/>
      <c r="D130" s="147"/>
      <c r="E130" s="147"/>
      <c r="F130" s="68"/>
      <c r="G130" s="147"/>
      <c r="H130" s="147"/>
      <c r="I130" s="147"/>
      <c r="J130" s="147"/>
      <c r="K130" s="68"/>
    </row>
    <row r="131" spans="1:11" ht="12.75" hidden="1" customHeight="1" outlineLevel="1" x14ac:dyDescent="0.2">
      <c r="A131" s="144" t="str">
        <f>"      "&amp;Labels!B174</f>
        <v xml:space="preserve">      Product 1</v>
      </c>
      <c r="B131" s="148"/>
      <c r="C131" s="148">
        <f>IF(B98=0,0,(C98/B98)^4-1)</f>
        <v>0</v>
      </c>
      <c r="D131" s="148">
        <f>IF(C98=0,0,(D98/C98)^4-1)</f>
        <v>0</v>
      </c>
      <c r="E131" s="148">
        <f>IF(D98=0,0,(E98/D98)^4-1)</f>
        <v>0</v>
      </c>
      <c r="F131" s="68">
        <f>IF(0=0,0,(SUM(B98:E98)/0)^1-1)</f>
        <v>0</v>
      </c>
      <c r="G131" s="148">
        <f>IF(E98=0,0,(G98/E98)^4-1)</f>
        <v>0</v>
      </c>
      <c r="H131" s="148">
        <f>IF(G98=0,0,(H98/G98)^4-1)</f>
        <v>0</v>
      </c>
      <c r="I131" s="148">
        <f>IF(H98=0,0,(I98/H98)^4-1)</f>
        <v>0</v>
      </c>
      <c r="J131" s="148">
        <f>IF(I98=0,0,(J98/I98)^4-1)</f>
        <v>0</v>
      </c>
      <c r="K131" s="68">
        <f>IF(SUM(B98:E98)=0,0,(SUM(G98:J98)/SUM(B98:E98))^1-1)</f>
        <v>0</v>
      </c>
    </row>
    <row r="132" spans="1:11" ht="12.75" hidden="1" customHeight="1" outlineLevel="1" x14ac:dyDescent="0.2">
      <c r="A132" s="114" t="str">
        <f>"      "&amp;Labels!C173</f>
        <v xml:space="preserve">      Total</v>
      </c>
      <c r="B132" s="147"/>
      <c r="C132" s="147">
        <f>IF(B32=0,0,(C32/B32)^4-1)</f>
        <v>0</v>
      </c>
      <c r="D132" s="147">
        <f>IF(C32=0,0,(D32/C32)^4-1)</f>
        <v>0</v>
      </c>
      <c r="E132" s="147">
        <f>IF(D32=0,0,(E32/D32)^4-1)</f>
        <v>0</v>
      </c>
      <c r="F132" s="68">
        <f>IF(0=0,0,(SUM(B32:E32)/0)^1-1)</f>
        <v>0</v>
      </c>
      <c r="G132" s="147">
        <f>IF(E32=0,0,(G32/E32)^4-1)</f>
        <v>0</v>
      </c>
      <c r="H132" s="147">
        <f>IF(G32=0,0,(H32/G32)^4-1)</f>
        <v>0</v>
      </c>
      <c r="I132" s="147">
        <f>IF(H32=0,0,(I32/H32)^4-1)</f>
        <v>0</v>
      </c>
      <c r="J132" s="147">
        <f>IF(I32=0,0,(J32/I32)^4-1)</f>
        <v>0</v>
      </c>
      <c r="K132" s="68">
        <f>IF(SUM(B32:E32)=0,0,(SUM(G32:J32)/SUM(B32:E32))^1-1)</f>
        <v>0</v>
      </c>
    </row>
    <row r="133" spans="1:11" ht="12.75" hidden="1" customHeight="1" outlineLevel="1" x14ac:dyDescent="0.2">
      <c r="A133" s="117" t="str">
        <f>"   "&amp;Labels!C181</f>
        <v xml:space="preserve">   Total</v>
      </c>
      <c r="B133" s="149"/>
      <c r="C133" s="149">
        <f>IF(B8=0,0,(C8/B8)^4-1)</f>
        <v>0</v>
      </c>
      <c r="D133" s="149">
        <f>IF(C8=0,0,(D8/C8)^4-1)</f>
        <v>0</v>
      </c>
      <c r="E133" s="149">
        <f>IF(D8=0,0,(E8/D8)^4-1)</f>
        <v>0</v>
      </c>
      <c r="F133" s="68">
        <f>IF(0=0,0,(SUM(B8:E8)/0)^1-1)</f>
        <v>0</v>
      </c>
      <c r="G133" s="149">
        <f>IF(E8=0,0,(G8/E8)^4-1)</f>
        <v>0</v>
      </c>
      <c r="H133" s="149">
        <f>IF(G8=0,0,(H8/G8)^4-1)</f>
        <v>0</v>
      </c>
      <c r="I133" s="149">
        <f>IF(H8=0,0,(I8/H8)^4-1)</f>
        <v>0</v>
      </c>
      <c r="J133" s="149">
        <f>IF(I8=0,0,(J8/I8)^4-1)</f>
        <v>0</v>
      </c>
      <c r="K133" s="68">
        <f>IF(SUM(B8:E8)=0,0,(SUM(G8:J8)/SUM(B8:E8))^1-1)</f>
        <v>0</v>
      </c>
    </row>
    <row r="134" spans="1:11" ht="12.75" hidden="1" customHeight="1" outlineLevel="1" x14ac:dyDescent="0.2">
      <c r="A134" s="144" t="str">
        <f>"      "&amp;Labels!B174</f>
        <v xml:space="preserve">      Product 1</v>
      </c>
      <c r="B134" s="148"/>
      <c r="C134" s="148">
        <f>IF(B101=0,0,(C101/B101)^4-1)</f>
        <v>0</v>
      </c>
      <c r="D134" s="148">
        <f>IF(C101=0,0,(D101/C101)^4-1)</f>
        <v>0</v>
      </c>
      <c r="E134" s="148">
        <f>IF(D101=0,0,(E101/D101)^4-1)</f>
        <v>0</v>
      </c>
      <c r="F134" s="68">
        <f>IF(0=0,0,(SUM(B101:E101)/0)^1-1)</f>
        <v>0</v>
      </c>
      <c r="G134" s="148">
        <f>IF(E101=0,0,(G101/E101)^4-1)</f>
        <v>0</v>
      </c>
      <c r="H134" s="148">
        <f>IF(G101=0,0,(H101/G101)^4-1)</f>
        <v>0</v>
      </c>
      <c r="I134" s="148">
        <f>IF(H101=0,0,(I101/H101)^4-1)</f>
        <v>0</v>
      </c>
      <c r="J134" s="148">
        <f>IF(I101=0,0,(J101/I101)^4-1)</f>
        <v>0</v>
      </c>
      <c r="K134" s="68">
        <f>IF(SUM(B101:E101)=0,0,(SUM(G101:J101)/SUM(B101:E101))^1-1)</f>
        <v>0</v>
      </c>
    </row>
    <row r="135" spans="1:11" ht="12.75" hidden="1" customHeight="1" outlineLevel="1" x14ac:dyDescent="0.2">
      <c r="A135" s="145" t="str">
        <f>"      "&amp;Labels!C173</f>
        <v xml:space="preserve">      Total</v>
      </c>
      <c r="B135" s="158"/>
      <c r="C135" s="158">
        <f>IF(B8=0,0,(C8/B8)^4-1)</f>
        <v>0</v>
      </c>
      <c r="D135" s="158">
        <f>IF(C8=0,0,(D8/C8)^4-1)</f>
        <v>0</v>
      </c>
      <c r="E135" s="158">
        <f>IF(D8=0,0,(E8/D8)^4-1)</f>
        <v>0</v>
      </c>
      <c r="F135" s="87">
        <f>IF(0=0,0,(SUM(B8:E8)/0)^1-1)</f>
        <v>0</v>
      </c>
      <c r="G135" s="158">
        <f>IF(E8=0,0,(G8/E8)^4-1)</f>
        <v>0</v>
      </c>
      <c r="H135" s="158">
        <f>IF(G8=0,0,(H8/G8)^4-1)</f>
        <v>0</v>
      </c>
      <c r="I135" s="158">
        <f>IF(H8=0,0,(I8/H8)^4-1)</f>
        <v>0</v>
      </c>
      <c r="J135" s="158">
        <f>IF(I8=0,0,(J8/I8)^4-1)</f>
        <v>0</v>
      </c>
      <c r="K135" s="87">
        <f>IF(SUM(B8:E8)=0,0,(SUM(G8:J8)/SUM(B8:E8))^1-1)</f>
        <v>0</v>
      </c>
    </row>
    <row r="136" spans="1:11" ht="12.75" hidden="1" customHeight="1" outlineLevel="1" x14ac:dyDescent="0.2"/>
    <row r="137" spans="1:11" ht="12.75" hidden="1" customHeight="1" outlineLevel="1" collapsed="1" x14ac:dyDescent="0.2"/>
    <row r="138" spans="1:11" ht="12.75" customHeight="1" collapsed="1" x14ac:dyDescent="0.2"/>
    <row r="139" spans="1:11" ht="12.75" customHeight="1" x14ac:dyDescent="0.2">
      <c r="A139" s="271" t="str">
        <f>"Expense Detail by Account"</f>
        <v>Expense Detail by Account</v>
      </c>
      <c r="B139" s="271"/>
    </row>
    <row r="140" spans="1:11" ht="12.75" hidden="1" customHeight="1" outlineLevel="1" x14ac:dyDescent="0.2">
      <c r="A140" s="271" t="str">
        <f>""</f>
        <v/>
      </c>
      <c r="B140" s="271"/>
    </row>
    <row r="141" spans="1:11" ht="12.75" hidden="1" customHeight="1" outlineLevel="1" x14ac:dyDescent="0.2">
      <c r="B141" s="17" t="str">
        <f>'(FnCalls 1)'!G7</f>
        <v>Q1 2011</v>
      </c>
      <c r="C141" s="18" t="str">
        <f>'(FnCalls 1)'!G8</f>
        <v>Q2 2011</v>
      </c>
      <c r="D141" s="18" t="str">
        <f>'(FnCalls 1)'!G9</f>
        <v>Q3 2011</v>
      </c>
      <c r="E141" s="18" t="str">
        <f>'(FnCalls 1)'!G10</f>
        <v>Q4 2011</v>
      </c>
      <c r="F141" s="62" t="str">
        <f>'(FnCalls 1)'!H7</f>
        <v>2011</v>
      </c>
      <c r="G141" s="18" t="str">
        <f>'(FnCalls 1)'!G11</f>
        <v>Q1 2012</v>
      </c>
      <c r="H141" s="18" t="str">
        <f>'(FnCalls 1)'!G12</f>
        <v>Q2 2012</v>
      </c>
      <c r="I141" s="18" t="str">
        <f>'(FnCalls 1)'!G13</f>
        <v>Q3 2012</v>
      </c>
      <c r="J141" s="18" t="str">
        <f>'(FnCalls 1)'!G14</f>
        <v>Q4 2012</v>
      </c>
      <c r="K141" s="62" t="str">
        <f>'(FnCalls 1)'!H11</f>
        <v>2012</v>
      </c>
    </row>
    <row r="142" spans="1:11" ht="12.75" hidden="1" customHeight="1" outlineLevel="1" x14ac:dyDescent="0.2">
      <c r="A142" s="111" t="str">
        <f>Labels!B53</f>
        <v>Variable Operating Expense</v>
      </c>
      <c r="B142" s="110"/>
      <c r="C142" s="110"/>
      <c r="D142" s="110"/>
      <c r="E142" s="110"/>
      <c r="F142" s="75"/>
      <c r="G142" s="110"/>
      <c r="H142" s="110"/>
      <c r="I142" s="110"/>
      <c r="J142" s="110"/>
      <c r="K142" s="75"/>
    </row>
    <row r="143" spans="1:11" ht="12.75" hidden="1" customHeight="1" outlineLevel="1" x14ac:dyDescent="0.2">
      <c r="A143" s="114" t="str">
        <f>"   "&amp;Labels!B182</f>
        <v xml:space="preserve">   Catamarans</v>
      </c>
      <c r="B143" s="113"/>
      <c r="C143" s="113"/>
      <c r="D143" s="113"/>
      <c r="E143" s="113"/>
      <c r="F143" s="69"/>
      <c r="G143" s="113"/>
      <c r="H143" s="113"/>
      <c r="I143" s="113"/>
      <c r="J143" s="113"/>
      <c r="K143" s="69"/>
    </row>
    <row r="144" spans="1:11" ht="12.75" hidden="1" customHeight="1" outlineLevel="1" x14ac:dyDescent="0.2">
      <c r="A144" s="144" t="str">
        <f>"      "&amp;Labels!B186</f>
        <v xml:space="preserve">      Fuel</v>
      </c>
      <c r="B144" s="116">
        <f>Inputs!E95</f>
        <v>0</v>
      </c>
      <c r="C144" s="116">
        <f>Inputs!F95</f>
        <v>0</v>
      </c>
      <c r="D144" s="116">
        <f>Inputs!G95</f>
        <v>0</v>
      </c>
      <c r="E144" s="116">
        <f>Inputs!H95</f>
        <v>0</v>
      </c>
      <c r="F144" s="69">
        <f>SUM(B144:E144)</f>
        <v>0</v>
      </c>
      <c r="G144" s="116">
        <f>Inputs!J95</f>
        <v>0</v>
      </c>
      <c r="H144" s="116">
        <f>Inputs!K95</f>
        <v>0</v>
      </c>
      <c r="I144" s="116">
        <f>Inputs!L95</f>
        <v>0</v>
      </c>
      <c r="J144" s="116">
        <f>Inputs!M95</f>
        <v>0</v>
      </c>
      <c r="K144" s="69">
        <f>SUM(G144:J144)</f>
        <v>0</v>
      </c>
    </row>
    <row r="145" spans="1:11" ht="12.75" hidden="1" customHeight="1" outlineLevel="1" x14ac:dyDescent="0.2">
      <c r="A145" s="144" t="str">
        <f>"      "&amp;Labels!B187</f>
        <v xml:space="preserve">      Maintenance</v>
      </c>
      <c r="B145" s="116">
        <f>Inputs!E96</f>
        <v>0</v>
      </c>
      <c r="C145" s="116">
        <f>Inputs!F96</f>
        <v>0</v>
      </c>
      <c r="D145" s="116">
        <f>Inputs!G96</f>
        <v>0</v>
      </c>
      <c r="E145" s="116">
        <f>Inputs!H96</f>
        <v>0</v>
      </c>
      <c r="F145" s="69">
        <f>SUM(B145:E145)</f>
        <v>0</v>
      </c>
      <c r="G145" s="116">
        <f>Inputs!J96</f>
        <v>0</v>
      </c>
      <c r="H145" s="116">
        <f>Inputs!K96</f>
        <v>0</v>
      </c>
      <c r="I145" s="116">
        <f>Inputs!L96</f>
        <v>0</v>
      </c>
      <c r="J145" s="116">
        <f>Inputs!M96</f>
        <v>0</v>
      </c>
      <c r="K145" s="69">
        <f>SUM(G145:J145)</f>
        <v>0</v>
      </c>
    </row>
    <row r="146" spans="1:11" ht="12.75" hidden="1" customHeight="1" outlineLevel="1" x14ac:dyDescent="0.2">
      <c r="A146" s="114" t="str">
        <f>"      "&amp;Labels!C185</f>
        <v xml:space="preserve">      Total</v>
      </c>
      <c r="B146" s="113">
        <f>SUM(B144:B145)</f>
        <v>0</v>
      </c>
      <c r="C146" s="113">
        <f>SUM(C144:C145)</f>
        <v>0</v>
      </c>
      <c r="D146" s="113">
        <f>SUM(D144:D145)</f>
        <v>0</v>
      </c>
      <c r="E146" s="113">
        <f>SUM(E144:E145)</f>
        <v>0</v>
      </c>
      <c r="F146" s="69">
        <f>SUM(B146:E146)</f>
        <v>0</v>
      </c>
      <c r="G146" s="113">
        <f>SUM(G144:G145)</f>
        <v>0</v>
      </c>
      <c r="H146" s="113">
        <f>SUM(H144:H145)</f>
        <v>0</v>
      </c>
      <c r="I146" s="113">
        <f>SUM(I144:I145)</f>
        <v>0</v>
      </c>
      <c r="J146" s="113">
        <f>SUM(J144:J145)</f>
        <v>0</v>
      </c>
      <c r="K146" s="69">
        <f>SUM(G146:J146)</f>
        <v>0</v>
      </c>
    </row>
    <row r="147" spans="1:11" ht="12.75" hidden="1" customHeight="1" outlineLevel="1" x14ac:dyDescent="0.2">
      <c r="A147" s="114" t="str">
        <f>"   "&amp;Labels!B183</f>
        <v xml:space="preserve">   Canoes</v>
      </c>
      <c r="B147" s="113"/>
      <c r="C147" s="113"/>
      <c r="D147" s="113"/>
      <c r="E147" s="113"/>
      <c r="F147" s="69"/>
      <c r="G147" s="113"/>
      <c r="H147" s="113"/>
      <c r="I147" s="113"/>
      <c r="J147" s="113"/>
      <c r="K147" s="69"/>
    </row>
    <row r="148" spans="1:11" ht="12.75" hidden="1" customHeight="1" outlineLevel="1" x14ac:dyDescent="0.2">
      <c r="A148" s="144" t="str">
        <f>"      "&amp;Labels!B186</f>
        <v xml:space="preserve">      Fuel</v>
      </c>
      <c r="B148" s="116">
        <f>Inputs!E97</f>
        <v>0</v>
      </c>
      <c r="C148" s="116">
        <f>Inputs!F97</f>
        <v>0</v>
      </c>
      <c r="D148" s="116">
        <f>Inputs!G97</f>
        <v>0</v>
      </c>
      <c r="E148" s="116">
        <f>Inputs!H97</f>
        <v>0</v>
      </c>
      <c r="F148" s="69">
        <f t="shared" ref="F148:F153" si="14">SUM(B148:E148)</f>
        <v>0</v>
      </c>
      <c r="G148" s="116">
        <f>Inputs!J97</f>
        <v>0</v>
      </c>
      <c r="H148" s="116">
        <f>Inputs!K97</f>
        <v>0</v>
      </c>
      <c r="I148" s="116">
        <f>Inputs!L97</f>
        <v>0</v>
      </c>
      <c r="J148" s="116">
        <f>Inputs!M97</f>
        <v>0</v>
      </c>
      <c r="K148" s="69">
        <f t="shared" ref="K148:K153" si="15">SUM(G148:J148)</f>
        <v>0</v>
      </c>
    </row>
    <row r="149" spans="1:11" ht="12.75" hidden="1" customHeight="1" outlineLevel="1" x14ac:dyDescent="0.2">
      <c r="A149" s="144" t="str">
        <f>"      "&amp;Labels!B187</f>
        <v xml:space="preserve">      Maintenance</v>
      </c>
      <c r="B149" s="116">
        <f>Inputs!E98</f>
        <v>0</v>
      </c>
      <c r="C149" s="116">
        <f>Inputs!F98</f>
        <v>0</v>
      </c>
      <c r="D149" s="116">
        <f>Inputs!G98</f>
        <v>0</v>
      </c>
      <c r="E149" s="116">
        <f>Inputs!H98</f>
        <v>0</v>
      </c>
      <c r="F149" s="69">
        <f t="shared" si="14"/>
        <v>0</v>
      </c>
      <c r="G149" s="116">
        <f>Inputs!J98</f>
        <v>0</v>
      </c>
      <c r="H149" s="116">
        <f>Inputs!K98</f>
        <v>0</v>
      </c>
      <c r="I149" s="116">
        <f>Inputs!L98</f>
        <v>0</v>
      </c>
      <c r="J149" s="116">
        <f>Inputs!M98</f>
        <v>0</v>
      </c>
      <c r="K149" s="69">
        <f t="shared" si="15"/>
        <v>0</v>
      </c>
    </row>
    <row r="150" spans="1:11" ht="12.75" hidden="1" customHeight="1" outlineLevel="1" x14ac:dyDescent="0.2">
      <c r="A150" s="114" t="str">
        <f>"      "&amp;Labels!C185</f>
        <v xml:space="preserve">      Total</v>
      </c>
      <c r="B150" s="113">
        <f>SUM(B148:B149)</f>
        <v>0</v>
      </c>
      <c r="C150" s="113">
        <f>SUM(C148:C149)</f>
        <v>0</v>
      </c>
      <c r="D150" s="113">
        <f>SUM(D148:D149)</f>
        <v>0</v>
      </c>
      <c r="E150" s="113">
        <f>SUM(E148:E149)</f>
        <v>0</v>
      </c>
      <c r="F150" s="69">
        <f t="shared" si="14"/>
        <v>0</v>
      </c>
      <c r="G150" s="113">
        <f>SUM(G148:G149)</f>
        <v>0</v>
      </c>
      <c r="H150" s="113">
        <f>SUM(H148:H149)</f>
        <v>0</v>
      </c>
      <c r="I150" s="113">
        <f>SUM(I148:I149)</f>
        <v>0</v>
      </c>
      <c r="J150" s="113">
        <f>SUM(J148:J149)</f>
        <v>0</v>
      </c>
      <c r="K150" s="69">
        <f t="shared" si="15"/>
        <v>0</v>
      </c>
    </row>
    <row r="151" spans="1:11" ht="12.75" hidden="1" customHeight="1" outlineLevel="1" x14ac:dyDescent="0.2">
      <c r="A151" s="117" t="str">
        <f>"   "&amp;Labels!C181</f>
        <v xml:space="preserve">   Total</v>
      </c>
      <c r="B151" s="120">
        <f>SUM(B146,B150)</f>
        <v>0</v>
      </c>
      <c r="C151" s="120">
        <f>SUM(C146,C150)</f>
        <v>0</v>
      </c>
      <c r="D151" s="120">
        <f>SUM(D146,D150)</f>
        <v>0</v>
      </c>
      <c r="E151" s="120">
        <f>SUM(E146,E150)</f>
        <v>0</v>
      </c>
      <c r="F151" s="69">
        <f t="shared" si="14"/>
        <v>0</v>
      </c>
      <c r="G151" s="120">
        <f>SUM(G146,G150)</f>
        <v>0</v>
      </c>
      <c r="H151" s="120">
        <f>SUM(H146,H150)</f>
        <v>0</v>
      </c>
      <c r="I151" s="120">
        <f>SUM(I146,I150)</f>
        <v>0</v>
      </c>
      <c r="J151" s="120">
        <f>SUM(J146,J150)</f>
        <v>0</v>
      </c>
      <c r="K151" s="69">
        <f t="shared" si="15"/>
        <v>0</v>
      </c>
    </row>
    <row r="152" spans="1:11" ht="12.75" hidden="1" customHeight="1" outlineLevel="1" x14ac:dyDescent="0.2">
      <c r="A152" s="144" t="str">
        <f>"      "&amp;Labels!B186</f>
        <v xml:space="preserve">      Fuel</v>
      </c>
      <c r="B152" s="116">
        <f t="shared" ref="B152:E154" si="16">SUM(B144,B148)</f>
        <v>0</v>
      </c>
      <c r="C152" s="116">
        <f t="shared" si="16"/>
        <v>0</v>
      </c>
      <c r="D152" s="116">
        <f t="shared" si="16"/>
        <v>0</v>
      </c>
      <c r="E152" s="116">
        <f t="shared" si="16"/>
        <v>0</v>
      </c>
      <c r="F152" s="69">
        <f t="shared" si="14"/>
        <v>0</v>
      </c>
      <c r="G152" s="116">
        <f t="shared" ref="G152:J154" si="17">SUM(G144,G148)</f>
        <v>0</v>
      </c>
      <c r="H152" s="116">
        <f t="shared" si="17"/>
        <v>0</v>
      </c>
      <c r="I152" s="116">
        <f t="shared" si="17"/>
        <v>0</v>
      </c>
      <c r="J152" s="116">
        <f t="shared" si="17"/>
        <v>0</v>
      </c>
      <c r="K152" s="69">
        <f t="shared" si="15"/>
        <v>0</v>
      </c>
    </row>
    <row r="153" spans="1:11" ht="12.75" hidden="1" customHeight="1" outlineLevel="1" x14ac:dyDescent="0.2">
      <c r="A153" s="144" t="str">
        <f>"      "&amp;Labels!B187</f>
        <v xml:space="preserve">      Maintenance</v>
      </c>
      <c r="B153" s="116">
        <f t="shared" si="16"/>
        <v>0</v>
      </c>
      <c r="C153" s="116">
        <f t="shared" si="16"/>
        <v>0</v>
      </c>
      <c r="D153" s="116">
        <f t="shared" si="16"/>
        <v>0</v>
      </c>
      <c r="E153" s="116">
        <f t="shared" si="16"/>
        <v>0</v>
      </c>
      <c r="F153" s="69">
        <f t="shared" si="14"/>
        <v>0</v>
      </c>
      <c r="G153" s="116">
        <f t="shared" si="17"/>
        <v>0</v>
      </c>
      <c r="H153" s="116">
        <f t="shared" si="17"/>
        <v>0</v>
      </c>
      <c r="I153" s="116">
        <f t="shared" si="17"/>
        <v>0</v>
      </c>
      <c r="J153" s="116">
        <f t="shared" si="17"/>
        <v>0</v>
      </c>
      <c r="K153" s="69">
        <f t="shared" si="15"/>
        <v>0</v>
      </c>
    </row>
    <row r="154" spans="1:11" ht="12.75" hidden="1" customHeight="1" outlineLevel="1" x14ac:dyDescent="0.2">
      <c r="A154" s="114" t="str">
        <f>"      "&amp;Labels!C185</f>
        <v xml:space="preserve">      Total</v>
      </c>
      <c r="B154" s="113">
        <f t="shared" si="16"/>
        <v>0</v>
      </c>
      <c r="C154" s="113">
        <f t="shared" si="16"/>
        <v>0</v>
      </c>
      <c r="D154" s="113">
        <f t="shared" si="16"/>
        <v>0</v>
      </c>
      <c r="E154" s="113">
        <f t="shared" si="16"/>
        <v>0</v>
      </c>
      <c r="F154" s="69">
        <f>SUM(B151:E151)</f>
        <v>0</v>
      </c>
      <c r="G154" s="113">
        <f t="shared" si="17"/>
        <v>0</v>
      </c>
      <c r="H154" s="113">
        <f t="shared" si="17"/>
        <v>0</v>
      </c>
      <c r="I154" s="113">
        <f t="shared" si="17"/>
        <v>0</v>
      </c>
      <c r="J154" s="113">
        <f t="shared" si="17"/>
        <v>0</v>
      </c>
      <c r="K154" s="69">
        <f>SUM(G151:J151)</f>
        <v>0</v>
      </c>
    </row>
    <row r="155" spans="1:11" ht="12.75" hidden="1" customHeight="1" outlineLevel="1" x14ac:dyDescent="0.2">
      <c r="A155" s="12"/>
      <c r="B155" s="10"/>
      <c r="C155" s="10"/>
      <c r="D155" s="10"/>
      <c r="E155" s="10"/>
      <c r="F155" s="12"/>
      <c r="G155" s="10"/>
      <c r="H155" s="10"/>
      <c r="I155" s="10"/>
      <c r="J155" s="10"/>
      <c r="K155" s="12"/>
    </row>
    <row r="156" spans="1:11" ht="12.75" hidden="1" customHeight="1" outlineLevel="1" x14ac:dyDescent="0.2">
      <c r="A156" s="117" t="str">
        <f>Labels!B49</f>
        <v>Fixed Operating Expense</v>
      </c>
      <c r="B156" s="120"/>
      <c r="C156" s="120"/>
      <c r="D156" s="120"/>
      <c r="E156" s="120"/>
      <c r="F156" s="69"/>
      <c r="G156" s="120"/>
      <c r="H156" s="120"/>
      <c r="I156" s="120"/>
      <c r="J156" s="120"/>
      <c r="K156" s="69"/>
    </row>
    <row r="157" spans="1:11" ht="12.75" hidden="1" customHeight="1" outlineLevel="1" x14ac:dyDescent="0.2">
      <c r="A157" s="114" t="str">
        <f>"   "&amp;Labels!B182</f>
        <v xml:space="preserve">   Catamarans</v>
      </c>
      <c r="B157" s="113"/>
      <c r="C157" s="113"/>
      <c r="D157" s="113"/>
      <c r="E157" s="113"/>
      <c r="F157" s="69"/>
      <c r="G157" s="113"/>
      <c r="H157" s="113"/>
      <c r="I157" s="113"/>
      <c r="J157" s="113"/>
      <c r="K157" s="69"/>
    </row>
    <row r="158" spans="1:11" ht="12.75" hidden="1" customHeight="1" outlineLevel="1" x14ac:dyDescent="0.2">
      <c r="A158" s="144" t="str">
        <f>"      "&amp;Labels!B162</f>
        <v xml:space="preserve">      Computers</v>
      </c>
      <c r="B158" s="116">
        <f>Inputs!E101</f>
        <v>0</v>
      </c>
      <c r="C158" s="116">
        <f>Inputs!F101</f>
        <v>0</v>
      </c>
      <c r="D158" s="116">
        <f>Inputs!G101</f>
        <v>0</v>
      </c>
      <c r="E158" s="116">
        <f>Inputs!H101</f>
        <v>0</v>
      </c>
      <c r="F158" s="69">
        <f>SUM(B158:E158)</f>
        <v>0</v>
      </c>
      <c r="G158" s="116">
        <f>Inputs!J101</f>
        <v>0</v>
      </c>
      <c r="H158" s="116">
        <f>Inputs!K101</f>
        <v>0</v>
      </c>
      <c r="I158" s="116">
        <f>Inputs!L101</f>
        <v>0</v>
      </c>
      <c r="J158" s="116">
        <f>Inputs!M101</f>
        <v>0</v>
      </c>
      <c r="K158" s="69">
        <f>SUM(G158:J158)</f>
        <v>0</v>
      </c>
    </row>
    <row r="159" spans="1:11" ht="12.75" hidden="1" customHeight="1" outlineLevel="1" x14ac:dyDescent="0.2">
      <c r="A159" s="144" t="str">
        <f>"      "&amp;Labels!B163</f>
        <v xml:space="preserve">      Vehicles</v>
      </c>
      <c r="B159" s="116">
        <f>Inputs!E102</f>
        <v>0</v>
      </c>
      <c r="C159" s="116">
        <f>Inputs!F102</f>
        <v>0</v>
      </c>
      <c r="D159" s="116">
        <f>Inputs!G102</f>
        <v>0</v>
      </c>
      <c r="E159" s="116">
        <f>Inputs!H102</f>
        <v>0</v>
      </c>
      <c r="F159" s="69">
        <f>SUM(B159:E159)</f>
        <v>0</v>
      </c>
      <c r="G159" s="116">
        <f>Inputs!J102</f>
        <v>0</v>
      </c>
      <c r="H159" s="116">
        <f>Inputs!K102</f>
        <v>0</v>
      </c>
      <c r="I159" s="116">
        <f>Inputs!L102</f>
        <v>0</v>
      </c>
      <c r="J159" s="116">
        <f>Inputs!M102</f>
        <v>0</v>
      </c>
      <c r="K159" s="69">
        <f>SUM(G159:J159)</f>
        <v>0</v>
      </c>
    </row>
    <row r="160" spans="1:11" ht="12.75" hidden="1" customHeight="1" outlineLevel="1" x14ac:dyDescent="0.2">
      <c r="A160" s="114" t="str">
        <f>"      "&amp;Labels!C161</f>
        <v xml:space="preserve">      Total</v>
      </c>
      <c r="B160" s="113">
        <f>SUM(B158:B159)</f>
        <v>0</v>
      </c>
      <c r="C160" s="113">
        <f>SUM(C158:C159)</f>
        <v>0</v>
      </c>
      <c r="D160" s="113">
        <f>SUM(D158:D159)</f>
        <v>0</v>
      </c>
      <c r="E160" s="113">
        <f>SUM(E158:E159)</f>
        <v>0</v>
      </c>
      <c r="F160" s="69">
        <f>SUM(B160:E160)</f>
        <v>0</v>
      </c>
      <c r="G160" s="113">
        <f>SUM(G158:G159)</f>
        <v>0</v>
      </c>
      <c r="H160" s="113">
        <f>SUM(H158:H159)</f>
        <v>0</v>
      </c>
      <c r="I160" s="113">
        <f>SUM(I158:I159)</f>
        <v>0</v>
      </c>
      <c r="J160" s="113">
        <f>SUM(J158:J159)</f>
        <v>0</v>
      </c>
      <c r="K160" s="69">
        <f>SUM(G160:J160)</f>
        <v>0</v>
      </c>
    </row>
    <row r="161" spans="1:11" ht="12.75" hidden="1" customHeight="1" outlineLevel="1" x14ac:dyDescent="0.2">
      <c r="A161" s="114" t="str">
        <f>"   "&amp;Labels!B183</f>
        <v xml:space="preserve">   Canoes</v>
      </c>
      <c r="B161" s="113"/>
      <c r="C161" s="113"/>
      <c r="D161" s="113"/>
      <c r="E161" s="113"/>
      <c r="F161" s="69"/>
      <c r="G161" s="113"/>
      <c r="H161" s="113"/>
      <c r="I161" s="113"/>
      <c r="J161" s="113"/>
      <c r="K161" s="69"/>
    </row>
    <row r="162" spans="1:11" ht="12.75" hidden="1" customHeight="1" outlineLevel="1" x14ac:dyDescent="0.2">
      <c r="A162" s="144" t="str">
        <f>"      "&amp;Labels!B162</f>
        <v xml:space="preserve">      Computers</v>
      </c>
      <c r="B162" s="116">
        <f>Inputs!E103</f>
        <v>0</v>
      </c>
      <c r="C162" s="116">
        <f>Inputs!F103</f>
        <v>0</v>
      </c>
      <c r="D162" s="116">
        <f>Inputs!G103</f>
        <v>0</v>
      </c>
      <c r="E162" s="116">
        <f>Inputs!H103</f>
        <v>0</v>
      </c>
      <c r="F162" s="69">
        <f t="shared" ref="F162:F167" si="18">SUM(B162:E162)</f>
        <v>0</v>
      </c>
      <c r="G162" s="116">
        <f>Inputs!J103</f>
        <v>0</v>
      </c>
      <c r="H162" s="116">
        <f>Inputs!K103</f>
        <v>0</v>
      </c>
      <c r="I162" s="116">
        <f>Inputs!L103</f>
        <v>0</v>
      </c>
      <c r="J162" s="116">
        <f>Inputs!M103</f>
        <v>0</v>
      </c>
      <c r="K162" s="69">
        <f t="shared" ref="K162:K167" si="19">SUM(G162:J162)</f>
        <v>0</v>
      </c>
    </row>
    <row r="163" spans="1:11" ht="12.75" hidden="1" customHeight="1" outlineLevel="1" x14ac:dyDescent="0.2">
      <c r="A163" s="144" t="str">
        <f>"      "&amp;Labels!B163</f>
        <v xml:space="preserve">      Vehicles</v>
      </c>
      <c r="B163" s="116">
        <f>Inputs!E104</f>
        <v>0</v>
      </c>
      <c r="C163" s="116">
        <f>Inputs!F104</f>
        <v>0</v>
      </c>
      <c r="D163" s="116">
        <f>Inputs!G104</f>
        <v>0</v>
      </c>
      <c r="E163" s="116">
        <f>Inputs!H104</f>
        <v>0</v>
      </c>
      <c r="F163" s="69">
        <f t="shared" si="18"/>
        <v>0</v>
      </c>
      <c r="G163" s="116">
        <f>Inputs!J104</f>
        <v>0</v>
      </c>
      <c r="H163" s="116">
        <f>Inputs!K104</f>
        <v>0</v>
      </c>
      <c r="I163" s="116">
        <f>Inputs!L104</f>
        <v>0</v>
      </c>
      <c r="J163" s="116">
        <f>Inputs!M104</f>
        <v>0</v>
      </c>
      <c r="K163" s="69">
        <f t="shared" si="19"/>
        <v>0</v>
      </c>
    </row>
    <row r="164" spans="1:11" ht="12.75" hidden="1" customHeight="1" outlineLevel="1" x14ac:dyDescent="0.2">
      <c r="A164" s="114" t="str">
        <f>"      "&amp;Labels!C161</f>
        <v xml:space="preserve">      Total</v>
      </c>
      <c r="B164" s="113">
        <f>SUM(B162:B163)</f>
        <v>0</v>
      </c>
      <c r="C164" s="113">
        <f>SUM(C162:C163)</f>
        <v>0</v>
      </c>
      <c r="D164" s="113">
        <f>SUM(D162:D163)</f>
        <v>0</v>
      </c>
      <c r="E164" s="113">
        <f>SUM(E162:E163)</f>
        <v>0</v>
      </c>
      <c r="F164" s="69">
        <f t="shared" si="18"/>
        <v>0</v>
      </c>
      <c r="G164" s="113">
        <f>SUM(G162:G163)</f>
        <v>0</v>
      </c>
      <c r="H164" s="113">
        <f>SUM(H162:H163)</f>
        <v>0</v>
      </c>
      <c r="I164" s="113">
        <f>SUM(I162:I163)</f>
        <v>0</v>
      </c>
      <c r="J164" s="113">
        <f>SUM(J162:J163)</f>
        <v>0</v>
      </c>
      <c r="K164" s="69">
        <f t="shared" si="19"/>
        <v>0</v>
      </c>
    </row>
    <row r="165" spans="1:11" ht="12.75" hidden="1" customHeight="1" outlineLevel="1" x14ac:dyDescent="0.2">
      <c r="A165" s="117" t="str">
        <f>"   "&amp;Labels!C181</f>
        <v xml:space="preserve">   Total</v>
      </c>
      <c r="B165" s="120">
        <f>SUM(B160,B164)</f>
        <v>0</v>
      </c>
      <c r="C165" s="120">
        <f>SUM(C160,C164)</f>
        <v>0</v>
      </c>
      <c r="D165" s="120">
        <f>SUM(D160,D164)</f>
        <v>0</v>
      </c>
      <c r="E165" s="120">
        <f>SUM(E160,E164)</f>
        <v>0</v>
      </c>
      <c r="F165" s="69">
        <f t="shared" si="18"/>
        <v>0</v>
      </c>
      <c r="G165" s="120">
        <f>SUM(G160,G164)</f>
        <v>0</v>
      </c>
      <c r="H165" s="120">
        <f>SUM(H160,H164)</f>
        <v>0</v>
      </c>
      <c r="I165" s="120">
        <f>SUM(I160,I164)</f>
        <v>0</v>
      </c>
      <c r="J165" s="120">
        <f>SUM(J160,J164)</f>
        <v>0</v>
      </c>
      <c r="K165" s="69">
        <f t="shared" si="19"/>
        <v>0</v>
      </c>
    </row>
    <row r="166" spans="1:11" ht="12.75" hidden="1" customHeight="1" outlineLevel="1" x14ac:dyDescent="0.2">
      <c r="A166" s="144" t="str">
        <f>"      "&amp;Labels!B162</f>
        <v xml:space="preserve">      Computers</v>
      </c>
      <c r="B166" s="116">
        <f t="shared" ref="B166:E168" si="20">SUM(B158,B162)</f>
        <v>0</v>
      </c>
      <c r="C166" s="116">
        <f t="shared" si="20"/>
        <v>0</v>
      </c>
      <c r="D166" s="116">
        <f t="shared" si="20"/>
        <v>0</v>
      </c>
      <c r="E166" s="116">
        <f t="shared" si="20"/>
        <v>0</v>
      </c>
      <c r="F166" s="69">
        <f t="shared" si="18"/>
        <v>0</v>
      </c>
      <c r="G166" s="116">
        <f t="shared" ref="G166:J168" si="21">SUM(G158,G162)</f>
        <v>0</v>
      </c>
      <c r="H166" s="116">
        <f t="shared" si="21"/>
        <v>0</v>
      </c>
      <c r="I166" s="116">
        <f t="shared" si="21"/>
        <v>0</v>
      </c>
      <c r="J166" s="116">
        <f t="shared" si="21"/>
        <v>0</v>
      </c>
      <c r="K166" s="69">
        <f t="shared" si="19"/>
        <v>0</v>
      </c>
    </row>
    <row r="167" spans="1:11" ht="12.75" hidden="1" customHeight="1" outlineLevel="1" x14ac:dyDescent="0.2">
      <c r="A167" s="144" t="str">
        <f>"      "&amp;Labels!B163</f>
        <v xml:space="preserve">      Vehicles</v>
      </c>
      <c r="B167" s="116">
        <f t="shared" si="20"/>
        <v>0</v>
      </c>
      <c r="C167" s="116">
        <f t="shared" si="20"/>
        <v>0</v>
      </c>
      <c r="D167" s="116">
        <f t="shared" si="20"/>
        <v>0</v>
      </c>
      <c r="E167" s="116">
        <f t="shared" si="20"/>
        <v>0</v>
      </c>
      <c r="F167" s="69">
        <f t="shared" si="18"/>
        <v>0</v>
      </c>
      <c r="G167" s="116">
        <f t="shared" si="21"/>
        <v>0</v>
      </c>
      <c r="H167" s="116">
        <f t="shared" si="21"/>
        <v>0</v>
      </c>
      <c r="I167" s="116">
        <f t="shared" si="21"/>
        <v>0</v>
      </c>
      <c r="J167" s="116">
        <f t="shared" si="21"/>
        <v>0</v>
      </c>
      <c r="K167" s="69">
        <f t="shared" si="19"/>
        <v>0</v>
      </c>
    </row>
    <row r="168" spans="1:11" ht="12.75" hidden="1" customHeight="1" outlineLevel="1" x14ac:dyDescent="0.2">
      <c r="A168" s="114" t="str">
        <f>"      "&amp;Labels!C161</f>
        <v xml:space="preserve">      Total</v>
      </c>
      <c r="B168" s="113">
        <f t="shared" si="20"/>
        <v>0</v>
      </c>
      <c r="C168" s="113">
        <f t="shared" si="20"/>
        <v>0</v>
      </c>
      <c r="D168" s="113">
        <f t="shared" si="20"/>
        <v>0</v>
      </c>
      <c r="E168" s="113">
        <f t="shared" si="20"/>
        <v>0</v>
      </c>
      <c r="F168" s="69">
        <f>SUM(B165:E165)</f>
        <v>0</v>
      </c>
      <c r="G168" s="113">
        <f t="shared" si="21"/>
        <v>0</v>
      </c>
      <c r="H168" s="113">
        <f t="shared" si="21"/>
        <v>0</v>
      </c>
      <c r="I168" s="113">
        <f t="shared" si="21"/>
        <v>0</v>
      </c>
      <c r="J168" s="113">
        <f t="shared" si="21"/>
        <v>0</v>
      </c>
      <c r="K168" s="69">
        <f>SUM(G165:J165)</f>
        <v>0</v>
      </c>
    </row>
    <row r="169" spans="1:11" ht="12.75" hidden="1" customHeight="1" outlineLevel="1" x14ac:dyDescent="0.2">
      <c r="A169" s="12"/>
      <c r="B169" s="10"/>
      <c r="C169" s="10"/>
      <c r="D169" s="10"/>
      <c r="E169" s="10"/>
      <c r="F169" s="12"/>
      <c r="G169" s="10"/>
      <c r="H169" s="10"/>
      <c r="I169" s="10"/>
      <c r="J169" s="10"/>
      <c r="K169" s="12"/>
    </row>
    <row r="170" spans="1:11" ht="12.75" hidden="1" customHeight="1" outlineLevel="1" x14ac:dyDescent="0.2">
      <c r="A170" s="117" t="str">
        <f>Labels!B34</f>
        <v>Depreciation</v>
      </c>
      <c r="B170" s="120"/>
      <c r="C170" s="120"/>
      <c r="D170" s="120"/>
      <c r="E170" s="120"/>
      <c r="F170" s="69"/>
      <c r="G170" s="120"/>
      <c r="H170" s="120"/>
      <c r="I170" s="120"/>
      <c r="J170" s="120"/>
      <c r="K170" s="69"/>
    </row>
    <row r="171" spans="1:11" ht="12.75" hidden="1" customHeight="1" outlineLevel="1" x14ac:dyDescent="0.2">
      <c r="A171" s="114" t="str">
        <f>"   "&amp;Labels!B182</f>
        <v xml:space="preserve">   Catamarans</v>
      </c>
      <c r="B171" s="113"/>
      <c r="C171" s="113"/>
      <c r="D171" s="113"/>
      <c r="E171" s="113"/>
      <c r="F171" s="69"/>
      <c r="G171" s="113"/>
      <c r="H171" s="113"/>
      <c r="I171" s="113"/>
      <c r="J171" s="113"/>
      <c r="K171" s="69"/>
    </row>
    <row r="172" spans="1:11" ht="12.75" hidden="1" customHeight="1" outlineLevel="1" x14ac:dyDescent="0.2">
      <c r="A172" s="144" t="str">
        <f>"      "&amp;Labels!B170</f>
        <v xml:space="preserve">      Invest 1</v>
      </c>
      <c r="B172" s="116">
        <f>Investment!D148*(1-Investment!D90)</f>
        <v>0</v>
      </c>
      <c r="C172" s="116">
        <f>Investment!E148*(1-Investment!D90)</f>
        <v>0</v>
      </c>
      <c r="D172" s="116">
        <f>Investment!F148*(1-Investment!D90)</f>
        <v>0</v>
      </c>
      <c r="E172" s="116">
        <f>Investment!G148*(1-Investment!D90)</f>
        <v>0</v>
      </c>
      <c r="F172" s="69">
        <f>SUM(B172:E172)</f>
        <v>0</v>
      </c>
      <c r="G172" s="116">
        <f>Investment!I148*(1-Investment!D90)</f>
        <v>0</v>
      </c>
      <c r="H172" s="116">
        <f>Investment!J148*(1-Investment!D90)</f>
        <v>0</v>
      </c>
      <c r="I172" s="116">
        <f>Investment!K148*(1-Investment!D90)</f>
        <v>0</v>
      </c>
      <c r="J172" s="116">
        <f>Investment!L148*(1-Investment!D90)</f>
        <v>0</v>
      </c>
      <c r="K172" s="69">
        <f>SUM(G172:J172)</f>
        <v>0</v>
      </c>
    </row>
    <row r="173" spans="1:11" ht="12.75" hidden="1" customHeight="1" outlineLevel="1" x14ac:dyDescent="0.2">
      <c r="A173" s="144" t="str">
        <f>"      "&amp;Labels!B171</f>
        <v xml:space="preserve">      Invest 2</v>
      </c>
      <c r="B173" s="116">
        <f>Investment!D149*(1-Investment!D91)</f>
        <v>0</v>
      </c>
      <c r="C173" s="116">
        <f>Investment!E149*(1-Investment!D91)</f>
        <v>0</v>
      </c>
      <c r="D173" s="116">
        <f>Investment!F149*(1-Investment!D91)</f>
        <v>0</v>
      </c>
      <c r="E173" s="116">
        <f>Investment!G149*(1-Investment!D91)</f>
        <v>0</v>
      </c>
      <c r="F173" s="69">
        <f>SUM(B173:E173)</f>
        <v>0</v>
      </c>
      <c r="G173" s="116">
        <f>Investment!I149*(1-Investment!D91)</f>
        <v>0</v>
      </c>
      <c r="H173" s="116">
        <f>Investment!J149*(1-Investment!D91)</f>
        <v>0</v>
      </c>
      <c r="I173" s="116">
        <f>Investment!K149*(1-Investment!D91)</f>
        <v>0</v>
      </c>
      <c r="J173" s="116">
        <f>Investment!L149*(1-Investment!D91)</f>
        <v>0</v>
      </c>
      <c r="K173" s="69">
        <f>SUM(G173:J173)</f>
        <v>0</v>
      </c>
    </row>
    <row r="174" spans="1:11" ht="12.75" hidden="1" customHeight="1" outlineLevel="1" x14ac:dyDescent="0.2">
      <c r="A174" s="114" t="str">
        <f>"      "&amp;Labels!C169</f>
        <v xml:space="preserve">      Total</v>
      </c>
      <c r="B174" s="113">
        <f>SUM(B172:B173)</f>
        <v>0</v>
      </c>
      <c r="C174" s="113">
        <f>SUM(C172:C173)</f>
        <v>0</v>
      </c>
      <c r="D174" s="113">
        <f>SUM(D172:D173)</f>
        <v>0</v>
      </c>
      <c r="E174" s="113">
        <f>SUM(E172:E173)</f>
        <v>0</v>
      </c>
      <c r="F174" s="69">
        <f>SUM(B174:E174)</f>
        <v>0</v>
      </c>
      <c r="G174" s="113">
        <f>SUM(G172:G173)</f>
        <v>0</v>
      </c>
      <c r="H174" s="113">
        <f>SUM(H172:H173)</f>
        <v>0</v>
      </c>
      <c r="I174" s="113">
        <f>SUM(I172:I173)</f>
        <v>0</v>
      </c>
      <c r="J174" s="113">
        <f>SUM(J172:J173)</f>
        <v>0</v>
      </c>
      <c r="K174" s="69">
        <f>SUM(G174:J174)</f>
        <v>0</v>
      </c>
    </row>
    <row r="175" spans="1:11" ht="12.75" hidden="1" customHeight="1" outlineLevel="1" x14ac:dyDescent="0.2">
      <c r="A175" s="114" t="str">
        <f>"   "&amp;Labels!B183</f>
        <v xml:space="preserve">   Canoes</v>
      </c>
      <c r="B175" s="113"/>
      <c r="C175" s="113"/>
      <c r="D175" s="113"/>
      <c r="E175" s="113"/>
      <c r="F175" s="69"/>
      <c r="G175" s="113"/>
      <c r="H175" s="113"/>
      <c r="I175" s="113"/>
      <c r="J175" s="113"/>
      <c r="K175" s="69"/>
    </row>
    <row r="176" spans="1:11" ht="12.75" hidden="1" customHeight="1" outlineLevel="1" x14ac:dyDescent="0.2">
      <c r="A176" s="144" t="str">
        <f>"      "&amp;Labels!B170</f>
        <v xml:space="preserve">      Invest 1</v>
      </c>
      <c r="B176" s="116">
        <f>Investment!D152*(1-Investment!D94)</f>
        <v>0</v>
      </c>
      <c r="C176" s="116">
        <f>Investment!E152*(1-Investment!D94)</f>
        <v>0</v>
      </c>
      <c r="D176" s="116">
        <f>Investment!F152*(1-Investment!D94)</f>
        <v>0</v>
      </c>
      <c r="E176" s="116">
        <f>Investment!G152*(1-Investment!D94)</f>
        <v>0</v>
      </c>
      <c r="F176" s="69">
        <f t="shared" ref="F176:F181" si="22">SUM(B176:E176)</f>
        <v>0</v>
      </c>
      <c r="G176" s="116">
        <f>Investment!I152*(1-Investment!D94)</f>
        <v>0</v>
      </c>
      <c r="H176" s="116">
        <f>Investment!J152*(1-Investment!D94)</f>
        <v>0</v>
      </c>
      <c r="I176" s="116">
        <f>Investment!K152*(1-Investment!D94)</f>
        <v>0</v>
      </c>
      <c r="J176" s="116">
        <f>Investment!L152*(1-Investment!D94)</f>
        <v>0</v>
      </c>
      <c r="K176" s="69">
        <f t="shared" ref="K176:K181" si="23">SUM(G176:J176)</f>
        <v>0</v>
      </c>
    </row>
    <row r="177" spans="1:11" ht="12.75" hidden="1" customHeight="1" outlineLevel="1" x14ac:dyDescent="0.2">
      <c r="A177" s="144" t="str">
        <f>"      "&amp;Labels!B171</f>
        <v xml:space="preserve">      Invest 2</v>
      </c>
      <c r="B177" s="116">
        <f>Investment!D153*(1-Investment!D95)</f>
        <v>0</v>
      </c>
      <c r="C177" s="116">
        <f>Investment!E153*(1-Investment!D95)</f>
        <v>0</v>
      </c>
      <c r="D177" s="116">
        <f>Investment!F153*(1-Investment!D95)</f>
        <v>0</v>
      </c>
      <c r="E177" s="116">
        <f>Investment!G153*(1-Investment!D95)</f>
        <v>0</v>
      </c>
      <c r="F177" s="69">
        <f t="shared" si="22"/>
        <v>0</v>
      </c>
      <c r="G177" s="116">
        <f>Investment!I153*(1-Investment!D95)</f>
        <v>0</v>
      </c>
      <c r="H177" s="116">
        <f>Investment!J153*(1-Investment!D95)</f>
        <v>0</v>
      </c>
      <c r="I177" s="116">
        <f>Investment!K153*(1-Investment!D95)</f>
        <v>0</v>
      </c>
      <c r="J177" s="116">
        <f>Investment!L153*(1-Investment!D95)</f>
        <v>0</v>
      </c>
      <c r="K177" s="69">
        <f t="shared" si="23"/>
        <v>0</v>
      </c>
    </row>
    <row r="178" spans="1:11" ht="12.75" hidden="1" customHeight="1" outlineLevel="1" x14ac:dyDescent="0.2">
      <c r="A178" s="114" t="str">
        <f>"      "&amp;Labels!C169</f>
        <v xml:space="preserve">      Total</v>
      </c>
      <c r="B178" s="113">
        <f>SUM(B176:B177)</f>
        <v>0</v>
      </c>
      <c r="C178" s="113">
        <f>SUM(C176:C177)</f>
        <v>0</v>
      </c>
      <c r="D178" s="113">
        <f>SUM(D176:D177)</f>
        <v>0</v>
      </c>
      <c r="E178" s="113">
        <f>SUM(E176:E177)</f>
        <v>0</v>
      </c>
      <c r="F178" s="69">
        <f t="shared" si="22"/>
        <v>0</v>
      </c>
      <c r="G178" s="113">
        <f>SUM(G176:G177)</f>
        <v>0</v>
      </c>
      <c r="H178" s="113">
        <f>SUM(H176:H177)</f>
        <v>0</v>
      </c>
      <c r="I178" s="113">
        <f>SUM(I176:I177)</f>
        <v>0</v>
      </c>
      <c r="J178" s="113">
        <f>SUM(J176:J177)</f>
        <v>0</v>
      </c>
      <c r="K178" s="69">
        <f t="shared" si="23"/>
        <v>0</v>
      </c>
    </row>
    <row r="179" spans="1:11" ht="12.75" hidden="1" customHeight="1" outlineLevel="1" x14ac:dyDescent="0.2">
      <c r="A179" s="117" t="str">
        <f>"   "&amp;Labels!C181</f>
        <v xml:space="preserve">   Total</v>
      </c>
      <c r="B179" s="120">
        <f>SUM(B174,B178)</f>
        <v>0</v>
      </c>
      <c r="C179" s="120">
        <f>SUM(C174,C178)</f>
        <v>0</v>
      </c>
      <c r="D179" s="120">
        <f>SUM(D174,D178)</f>
        <v>0</v>
      </c>
      <c r="E179" s="120">
        <f>SUM(E174,E178)</f>
        <v>0</v>
      </c>
      <c r="F179" s="69">
        <f t="shared" si="22"/>
        <v>0</v>
      </c>
      <c r="G179" s="120">
        <f>SUM(G174,G178)</f>
        <v>0</v>
      </c>
      <c r="H179" s="120">
        <f>SUM(H174,H178)</f>
        <v>0</v>
      </c>
      <c r="I179" s="120">
        <f>SUM(I174,I178)</f>
        <v>0</v>
      </c>
      <c r="J179" s="120">
        <f>SUM(J174,J178)</f>
        <v>0</v>
      </c>
      <c r="K179" s="69">
        <f t="shared" si="23"/>
        <v>0</v>
      </c>
    </row>
    <row r="180" spans="1:11" ht="12.75" hidden="1" customHeight="1" outlineLevel="1" x14ac:dyDescent="0.2">
      <c r="A180" s="144" t="str">
        <f>"      "&amp;Labels!B170</f>
        <v xml:space="preserve">      Invest 1</v>
      </c>
      <c r="B180" s="116">
        <f t="shared" ref="B180:E182" si="24">SUM(B172,B176)</f>
        <v>0</v>
      </c>
      <c r="C180" s="116">
        <f t="shared" si="24"/>
        <v>0</v>
      </c>
      <c r="D180" s="116">
        <f t="shared" si="24"/>
        <v>0</v>
      </c>
      <c r="E180" s="116">
        <f t="shared" si="24"/>
        <v>0</v>
      </c>
      <c r="F180" s="69">
        <f t="shared" si="22"/>
        <v>0</v>
      </c>
      <c r="G180" s="116">
        <f t="shared" ref="G180:J182" si="25">SUM(G172,G176)</f>
        <v>0</v>
      </c>
      <c r="H180" s="116">
        <f t="shared" si="25"/>
        <v>0</v>
      </c>
      <c r="I180" s="116">
        <f t="shared" si="25"/>
        <v>0</v>
      </c>
      <c r="J180" s="116">
        <f t="shared" si="25"/>
        <v>0</v>
      </c>
      <c r="K180" s="69">
        <f t="shared" si="23"/>
        <v>0</v>
      </c>
    </row>
    <row r="181" spans="1:11" ht="12.75" hidden="1" customHeight="1" outlineLevel="1" x14ac:dyDescent="0.2">
      <c r="A181" s="144" t="str">
        <f>"      "&amp;Labels!B171</f>
        <v xml:space="preserve">      Invest 2</v>
      </c>
      <c r="B181" s="116">
        <f t="shared" si="24"/>
        <v>0</v>
      </c>
      <c r="C181" s="116">
        <f t="shared" si="24"/>
        <v>0</v>
      </c>
      <c r="D181" s="116">
        <f t="shared" si="24"/>
        <v>0</v>
      </c>
      <c r="E181" s="116">
        <f t="shared" si="24"/>
        <v>0</v>
      </c>
      <c r="F181" s="69">
        <f t="shared" si="22"/>
        <v>0</v>
      </c>
      <c r="G181" s="116">
        <f t="shared" si="25"/>
        <v>0</v>
      </c>
      <c r="H181" s="116">
        <f t="shared" si="25"/>
        <v>0</v>
      </c>
      <c r="I181" s="116">
        <f t="shared" si="25"/>
        <v>0</v>
      </c>
      <c r="J181" s="116">
        <f t="shared" si="25"/>
        <v>0</v>
      </c>
      <c r="K181" s="69">
        <f t="shared" si="23"/>
        <v>0</v>
      </c>
    </row>
    <row r="182" spans="1:11" ht="12.75" hidden="1" customHeight="1" outlineLevel="1" x14ac:dyDescent="0.2">
      <c r="A182" s="114" t="str">
        <f>"      "&amp;Labels!C169</f>
        <v xml:space="preserve">      Total</v>
      </c>
      <c r="B182" s="113">
        <f t="shared" si="24"/>
        <v>0</v>
      </c>
      <c r="C182" s="113">
        <f t="shared" si="24"/>
        <v>0</v>
      </c>
      <c r="D182" s="113">
        <f t="shared" si="24"/>
        <v>0</v>
      </c>
      <c r="E182" s="113">
        <f t="shared" si="24"/>
        <v>0</v>
      </c>
      <c r="F182" s="69">
        <f>SUM(B179:E179)</f>
        <v>0</v>
      </c>
      <c r="G182" s="113">
        <f t="shared" si="25"/>
        <v>0</v>
      </c>
      <c r="H182" s="113">
        <f t="shared" si="25"/>
        <v>0</v>
      </c>
      <c r="I182" s="113">
        <f t="shared" si="25"/>
        <v>0</v>
      </c>
      <c r="J182" s="113">
        <f t="shared" si="25"/>
        <v>0</v>
      </c>
      <c r="K182" s="69">
        <f>SUM(G179:J179)</f>
        <v>0</v>
      </c>
    </row>
    <row r="183" spans="1:11" ht="12.75" hidden="1" customHeight="1" outlineLevel="1" x14ac:dyDescent="0.2">
      <c r="A183" s="12"/>
      <c r="B183" s="10"/>
      <c r="C183" s="10"/>
      <c r="D183" s="10"/>
      <c r="E183" s="10"/>
      <c r="F183" s="12"/>
      <c r="G183" s="10"/>
      <c r="H183" s="10"/>
      <c r="I183" s="10"/>
      <c r="J183" s="10"/>
      <c r="K183" s="12"/>
    </row>
    <row r="184" spans="1:11" ht="12.75" hidden="1" customHeight="1" outlineLevel="1" x14ac:dyDescent="0.2">
      <c r="A184" s="117" t="str">
        <f>Labels!B126</f>
        <v>Working Capital Amort</v>
      </c>
      <c r="B184" s="120"/>
      <c r="C184" s="120"/>
      <c r="D184" s="120"/>
      <c r="E184" s="120"/>
      <c r="F184" s="69"/>
      <c r="G184" s="120"/>
      <c r="H184" s="120"/>
      <c r="I184" s="120"/>
      <c r="J184" s="120"/>
      <c r="K184" s="69"/>
    </row>
    <row r="185" spans="1:11" ht="12.75" hidden="1" customHeight="1" outlineLevel="1" x14ac:dyDescent="0.2">
      <c r="A185" s="114" t="str">
        <f>"   "&amp;Labels!B182</f>
        <v xml:space="preserve">   Catamarans</v>
      </c>
      <c r="B185" s="113"/>
      <c r="C185" s="113"/>
      <c r="D185" s="113"/>
      <c r="E185" s="113"/>
      <c r="F185" s="69"/>
      <c r="G185" s="113"/>
      <c r="H185" s="113"/>
      <c r="I185" s="113"/>
      <c r="J185" s="113"/>
      <c r="K185" s="69"/>
    </row>
    <row r="186" spans="1:11" ht="12.75" hidden="1" customHeight="1" outlineLevel="1" x14ac:dyDescent="0.2">
      <c r="A186" s="144" t="str">
        <f>"      "&amp;Labels!B170</f>
        <v xml:space="preserve">      Invest 1</v>
      </c>
      <c r="B186" s="116">
        <f>IF(AND('(Tables)'!D36=0,'(Tables)'!B36=1),'(Compute)'!B86/2+'(Compute)'!B100/2,0)</f>
        <v>0</v>
      </c>
      <c r="C186" s="116">
        <f>IF(AND('(Tables)'!E36=0,'(Tables)'!D36=1),'(Compute)'!C86/2+'(Compute)'!C100/2,0)</f>
        <v>0</v>
      </c>
      <c r="D186" s="116">
        <f>IF(AND('(Tables)'!F36=0,'(Tables)'!E36=1),'(Compute)'!D86/2+'(Compute)'!D100/2,0)</f>
        <v>0</v>
      </c>
      <c r="E186" s="116">
        <f>IF(AND('(Tables)'!G36=0,'(Tables)'!F36=1),'(Compute)'!E86/2+'(Compute)'!E100/2,0)</f>
        <v>0</v>
      </c>
      <c r="F186" s="69">
        <f>SUM(B186:E186)</f>
        <v>0</v>
      </c>
      <c r="G186" s="116">
        <f>IF(AND('(Tables)'!I36=0,'(Tables)'!G36=1),'(Compute)'!G86/2+'(Compute)'!G100/2,0)</f>
        <v>0</v>
      </c>
      <c r="H186" s="116">
        <f>IF(AND('(Tables)'!J36=0,'(Tables)'!I36=1),'(Compute)'!H86/2+'(Compute)'!H100/2,0)</f>
        <v>0</v>
      </c>
      <c r="I186" s="116">
        <f>IF(AND('(Tables)'!K36=0,'(Tables)'!J36=1),'(Compute)'!I86/2+'(Compute)'!I100/2,0)</f>
        <v>0</v>
      </c>
      <c r="J186" s="116">
        <f>IF(AND('(Tables)'!L36=0,'(Tables)'!K36=1),'(Compute)'!J86/2+'(Compute)'!J100/2,0)</f>
        <v>0</v>
      </c>
      <c r="K186" s="69">
        <f>SUM(G186:J186)</f>
        <v>0</v>
      </c>
    </row>
    <row r="187" spans="1:11" ht="12.75" hidden="1" customHeight="1" outlineLevel="1" x14ac:dyDescent="0.2">
      <c r="A187" s="144" t="str">
        <f>"      "&amp;Labels!B171</f>
        <v xml:space="preserve">      Invest 2</v>
      </c>
      <c r="B187" s="116">
        <f>IF(AND('(Tables)'!D37=0,'(Tables)'!B37=1),'(Compute)'!B86/2+'(Compute)'!B100/2,0)</f>
        <v>0</v>
      </c>
      <c r="C187" s="116">
        <f>IF(AND('(Tables)'!E37=0,'(Tables)'!D37=1),'(Compute)'!C86/2+'(Compute)'!C100/2,0)</f>
        <v>0</v>
      </c>
      <c r="D187" s="116">
        <f>IF(AND('(Tables)'!F37=0,'(Tables)'!E37=1),'(Compute)'!D86/2+'(Compute)'!D100/2,0)</f>
        <v>0</v>
      </c>
      <c r="E187" s="116">
        <f>IF(AND('(Tables)'!G37=0,'(Tables)'!F37=1),'(Compute)'!E86/2+'(Compute)'!E100/2,0)</f>
        <v>0</v>
      </c>
      <c r="F187" s="69">
        <f>SUM(B187:E187)</f>
        <v>0</v>
      </c>
      <c r="G187" s="116">
        <f>IF(AND('(Tables)'!I37=0,'(Tables)'!G37=1),'(Compute)'!G86/2+'(Compute)'!G100/2,0)</f>
        <v>0</v>
      </c>
      <c r="H187" s="116">
        <f>IF(AND('(Tables)'!J37=0,'(Tables)'!I37=1),'(Compute)'!H86/2+'(Compute)'!H100/2,0)</f>
        <v>0</v>
      </c>
      <c r="I187" s="116">
        <f>IF(AND('(Tables)'!K37=0,'(Tables)'!J37=1),'(Compute)'!I86/2+'(Compute)'!I100/2,0)</f>
        <v>0</v>
      </c>
      <c r="J187" s="116">
        <f>IF(AND('(Tables)'!L37=0,'(Tables)'!K37=1),'(Compute)'!J86/2+'(Compute)'!J100/2,0)</f>
        <v>0</v>
      </c>
      <c r="K187" s="69">
        <f>SUM(G187:J187)</f>
        <v>0</v>
      </c>
    </row>
    <row r="188" spans="1:11" ht="12.75" hidden="1" customHeight="1" outlineLevel="1" x14ac:dyDescent="0.2">
      <c r="A188" s="114" t="str">
        <f>"      "&amp;Labels!C169</f>
        <v xml:space="preserve">      Total</v>
      </c>
      <c r="B188" s="113">
        <f>SUM(B186:B187)</f>
        <v>0</v>
      </c>
      <c r="C188" s="113">
        <f>SUM(C186:C187)</f>
        <v>0</v>
      </c>
      <c r="D188" s="113">
        <f>SUM(D186:D187)</f>
        <v>0</v>
      </c>
      <c r="E188" s="113">
        <f>SUM(E186:E187)</f>
        <v>0</v>
      </c>
      <c r="F188" s="69">
        <f>SUM(B188:E188)</f>
        <v>0</v>
      </c>
      <c r="G188" s="113">
        <f>SUM(G186:G187)</f>
        <v>0</v>
      </c>
      <c r="H188" s="113">
        <f>SUM(H186:H187)</f>
        <v>0</v>
      </c>
      <c r="I188" s="113">
        <f>SUM(I186:I187)</f>
        <v>0</v>
      </c>
      <c r="J188" s="113">
        <f>SUM(J186:J187)</f>
        <v>0</v>
      </c>
      <c r="K188" s="69">
        <f>SUM(G188:J188)</f>
        <v>0</v>
      </c>
    </row>
    <row r="189" spans="1:11" ht="12.75" hidden="1" customHeight="1" outlineLevel="1" x14ac:dyDescent="0.2">
      <c r="A189" s="114" t="str">
        <f>"   "&amp;Labels!B183</f>
        <v xml:space="preserve">   Canoes</v>
      </c>
      <c r="B189" s="113"/>
      <c r="C189" s="113"/>
      <c r="D189" s="113"/>
      <c r="E189" s="113"/>
      <c r="F189" s="69"/>
      <c r="G189" s="113"/>
      <c r="H189" s="113"/>
      <c r="I189" s="113"/>
      <c r="J189" s="113"/>
      <c r="K189" s="69"/>
    </row>
    <row r="190" spans="1:11" ht="12.75" hidden="1" customHeight="1" outlineLevel="1" x14ac:dyDescent="0.2">
      <c r="A190" s="144" t="str">
        <f>"      "&amp;Labels!B170</f>
        <v xml:space="preserve">      Invest 1</v>
      </c>
      <c r="B190" s="116">
        <f>IF(AND('(Tables)'!D40=0,'(Tables)'!B40=1),'(Compute)'!B90/2+'(Compute)'!B104/2,0)</f>
        <v>0</v>
      </c>
      <c r="C190" s="116">
        <f>IF(AND('(Tables)'!E40=0,'(Tables)'!D40=1),'(Compute)'!C90/2+'(Compute)'!C104/2,0)</f>
        <v>0</v>
      </c>
      <c r="D190" s="116">
        <f>IF(AND('(Tables)'!F40=0,'(Tables)'!E40=1),'(Compute)'!D90/2+'(Compute)'!D104/2,0)</f>
        <v>0</v>
      </c>
      <c r="E190" s="116">
        <f>IF(AND('(Tables)'!G40=0,'(Tables)'!F40=1),'(Compute)'!E90/2+'(Compute)'!E104/2,0)</f>
        <v>0</v>
      </c>
      <c r="F190" s="69">
        <f t="shared" ref="F190:F195" si="26">SUM(B190:E190)</f>
        <v>0</v>
      </c>
      <c r="G190" s="116">
        <f>IF(AND('(Tables)'!I40=0,'(Tables)'!G40=1),'(Compute)'!G90/2+'(Compute)'!G104/2,0)</f>
        <v>0</v>
      </c>
      <c r="H190" s="116">
        <f>IF(AND('(Tables)'!J40=0,'(Tables)'!I40=1),'(Compute)'!H90/2+'(Compute)'!H104/2,0)</f>
        <v>0</v>
      </c>
      <c r="I190" s="116">
        <f>IF(AND('(Tables)'!K40=0,'(Tables)'!J40=1),'(Compute)'!I90/2+'(Compute)'!I104/2,0)</f>
        <v>0</v>
      </c>
      <c r="J190" s="116">
        <f>IF(AND('(Tables)'!L40=0,'(Tables)'!K40=1),'(Compute)'!J90/2+'(Compute)'!J104/2,0)</f>
        <v>0</v>
      </c>
      <c r="K190" s="69">
        <f t="shared" ref="K190:K195" si="27">SUM(G190:J190)</f>
        <v>0</v>
      </c>
    </row>
    <row r="191" spans="1:11" ht="12.75" hidden="1" customHeight="1" outlineLevel="1" x14ac:dyDescent="0.2">
      <c r="A191" s="144" t="str">
        <f>"      "&amp;Labels!B171</f>
        <v xml:space="preserve">      Invest 2</v>
      </c>
      <c r="B191" s="116">
        <f>IF(AND('(Tables)'!D41=0,'(Tables)'!B41=1),'(Compute)'!B90/2+'(Compute)'!B104/2,0)</f>
        <v>0</v>
      </c>
      <c r="C191" s="116">
        <f>IF(AND('(Tables)'!E41=0,'(Tables)'!D41=1),'(Compute)'!C90/2+'(Compute)'!C104/2,0)</f>
        <v>0</v>
      </c>
      <c r="D191" s="116">
        <f>IF(AND('(Tables)'!F41=0,'(Tables)'!E41=1),'(Compute)'!D90/2+'(Compute)'!D104/2,0)</f>
        <v>0</v>
      </c>
      <c r="E191" s="116">
        <f>IF(AND('(Tables)'!G41=0,'(Tables)'!F41=1),'(Compute)'!E90/2+'(Compute)'!E104/2,0)</f>
        <v>0</v>
      </c>
      <c r="F191" s="69">
        <f t="shared" si="26"/>
        <v>0</v>
      </c>
      <c r="G191" s="116">
        <f>IF(AND('(Tables)'!I41=0,'(Tables)'!G41=1),'(Compute)'!G90/2+'(Compute)'!G104/2,0)</f>
        <v>0</v>
      </c>
      <c r="H191" s="116">
        <f>IF(AND('(Tables)'!J41=0,'(Tables)'!I41=1),'(Compute)'!H90/2+'(Compute)'!H104/2,0)</f>
        <v>0</v>
      </c>
      <c r="I191" s="116">
        <f>IF(AND('(Tables)'!K41=0,'(Tables)'!J41=1),'(Compute)'!I90/2+'(Compute)'!I104/2,0)</f>
        <v>0</v>
      </c>
      <c r="J191" s="116">
        <f>IF(AND('(Tables)'!L41=0,'(Tables)'!K41=1),'(Compute)'!J90/2+'(Compute)'!J104/2,0)</f>
        <v>0</v>
      </c>
      <c r="K191" s="69">
        <f t="shared" si="27"/>
        <v>0</v>
      </c>
    </row>
    <row r="192" spans="1:11" ht="12.75" hidden="1" customHeight="1" outlineLevel="1" x14ac:dyDescent="0.2">
      <c r="A192" s="114" t="str">
        <f>"      "&amp;Labels!C169</f>
        <v xml:space="preserve">      Total</v>
      </c>
      <c r="B192" s="113">
        <f>SUM(B190:B191)</f>
        <v>0</v>
      </c>
      <c r="C192" s="113">
        <f>SUM(C190:C191)</f>
        <v>0</v>
      </c>
      <c r="D192" s="113">
        <f>SUM(D190:D191)</f>
        <v>0</v>
      </c>
      <c r="E192" s="113">
        <f>SUM(E190:E191)</f>
        <v>0</v>
      </c>
      <c r="F192" s="69">
        <f t="shared" si="26"/>
        <v>0</v>
      </c>
      <c r="G192" s="113">
        <f>SUM(G190:G191)</f>
        <v>0</v>
      </c>
      <c r="H192" s="113">
        <f>SUM(H190:H191)</f>
        <v>0</v>
      </c>
      <c r="I192" s="113">
        <f>SUM(I190:I191)</f>
        <v>0</v>
      </c>
      <c r="J192" s="113">
        <f>SUM(J190:J191)</f>
        <v>0</v>
      </c>
      <c r="K192" s="69">
        <f t="shared" si="27"/>
        <v>0</v>
      </c>
    </row>
    <row r="193" spans="1:11" ht="12.75" hidden="1" customHeight="1" outlineLevel="1" x14ac:dyDescent="0.2">
      <c r="A193" s="117" t="str">
        <f>"   "&amp;Labels!C181</f>
        <v xml:space="preserve">   Total</v>
      </c>
      <c r="B193" s="120">
        <f>SUM(B188,B192)</f>
        <v>0</v>
      </c>
      <c r="C193" s="120">
        <f>SUM(C188,C192)</f>
        <v>0</v>
      </c>
      <c r="D193" s="120">
        <f>SUM(D188,D192)</f>
        <v>0</v>
      </c>
      <c r="E193" s="120">
        <f>SUM(E188,E192)</f>
        <v>0</v>
      </c>
      <c r="F193" s="69">
        <f t="shared" si="26"/>
        <v>0</v>
      </c>
      <c r="G193" s="120">
        <f>SUM(G188,G192)</f>
        <v>0</v>
      </c>
      <c r="H193" s="120">
        <f>SUM(H188,H192)</f>
        <v>0</v>
      </c>
      <c r="I193" s="120">
        <f>SUM(I188,I192)</f>
        <v>0</v>
      </c>
      <c r="J193" s="120">
        <f>SUM(J188,J192)</f>
        <v>0</v>
      </c>
      <c r="K193" s="69">
        <f t="shared" si="27"/>
        <v>0</v>
      </c>
    </row>
    <row r="194" spans="1:11" ht="12.75" hidden="1" customHeight="1" outlineLevel="1" x14ac:dyDescent="0.2">
      <c r="A194" s="144" t="str">
        <f>"      "&amp;Labels!B170</f>
        <v xml:space="preserve">      Invest 1</v>
      </c>
      <c r="B194" s="116">
        <f t="shared" ref="B194:E196" si="28">SUM(B186,B190)</f>
        <v>0</v>
      </c>
      <c r="C194" s="116">
        <f t="shared" si="28"/>
        <v>0</v>
      </c>
      <c r="D194" s="116">
        <f t="shared" si="28"/>
        <v>0</v>
      </c>
      <c r="E194" s="116">
        <f t="shared" si="28"/>
        <v>0</v>
      </c>
      <c r="F194" s="69">
        <f t="shared" si="26"/>
        <v>0</v>
      </c>
      <c r="G194" s="116">
        <f t="shared" ref="G194:J196" si="29">SUM(G186,G190)</f>
        <v>0</v>
      </c>
      <c r="H194" s="116">
        <f t="shared" si="29"/>
        <v>0</v>
      </c>
      <c r="I194" s="116">
        <f t="shared" si="29"/>
        <v>0</v>
      </c>
      <c r="J194" s="116">
        <f t="shared" si="29"/>
        <v>0</v>
      </c>
      <c r="K194" s="69">
        <f t="shared" si="27"/>
        <v>0</v>
      </c>
    </row>
    <row r="195" spans="1:11" ht="12.75" hidden="1" customHeight="1" outlineLevel="1" x14ac:dyDescent="0.2">
      <c r="A195" s="144" t="str">
        <f>"      "&amp;Labels!B171</f>
        <v xml:space="preserve">      Invest 2</v>
      </c>
      <c r="B195" s="116">
        <f t="shared" si="28"/>
        <v>0</v>
      </c>
      <c r="C195" s="116">
        <f t="shared" si="28"/>
        <v>0</v>
      </c>
      <c r="D195" s="116">
        <f t="shared" si="28"/>
        <v>0</v>
      </c>
      <c r="E195" s="116">
        <f t="shared" si="28"/>
        <v>0</v>
      </c>
      <c r="F195" s="69">
        <f t="shared" si="26"/>
        <v>0</v>
      </c>
      <c r="G195" s="116">
        <f t="shared" si="29"/>
        <v>0</v>
      </c>
      <c r="H195" s="116">
        <f t="shared" si="29"/>
        <v>0</v>
      </c>
      <c r="I195" s="116">
        <f t="shared" si="29"/>
        <v>0</v>
      </c>
      <c r="J195" s="116">
        <f t="shared" si="29"/>
        <v>0</v>
      </c>
      <c r="K195" s="69">
        <f t="shared" si="27"/>
        <v>0</v>
      </c>
    </row>
    <row r="196" spans="1:11" ht="12.75" hidden="1" customHeight="1" outlineLevel="1" x14ac:dyDescent="0.2">
      <c r="A196" s="145" t="str">
        <f>"      "&amp;Labels!C169</f>
        <v xml:space="preserve">      Total</v>
      </c>
      <c r="B196" s="123">
        <f t="shared" si="28"/>
        <v>0</v>
      </c>
      <c r="C196" s="123">
        <f t="shared" si="28"/>
        <v>0</v>
      </c>
      <c r="D196" s="123">
        <f t="shared" si="28"/>
        <v>0</v>
      </c>
      <c r="E196" s="123">
        <f t="shared" si="28"/>
        <v>0</v>
      </c>
      <c r="F196" s="70">
        <f>SUM(B193:E193)</f>
        <v>0</v>
      </c>
      <c r="G196" s="123">
        <f t="shared" si="29"/>
        <v>0</v>
      </c>
      <c r="H196" s="123">
        <f t="shared" si="29"/>
        <v>0</v>
      </c>
      <c r="I196" s="123">
        <f t="shared" si="29"/>
        <v>0</v>
      </c>
      <c r="J196" s="123">
        <f t="shared" si="29"/>
        <v>0</v>
      </c>
      <c r="K196" s="70">
        <f>SUM(G193:J193)</f>
        <v>0</v>
      </c>
    </row>
    <row r="197" spans="1:11" ht="12.75" hidden="1" customHeight="1" outlineLevel="1" collapsed="1" x14ac:dyDescent="0.2"/>
    <row r="198" spans="1:11" ht="12.75" customHeight="1" collapsed="1" x14ac:dyDescent="0.2">
      <c r="A198" t="s">
        <v>841</v>
      </c>
      <c r="B198" t="s">
        <v>841</v>
      </c>
      <c r="C198" t="s">
        <v>841</v>
      </c>
      <c r="D198" t="s">
        <v>841</v>
      </c>
      <c r="E198" t="s">
        <v>841</v>
      </c>
      <c r="F198" t="s">
        <v>841</v>
      </c>
      <c r="G198" t="s">
        <v>841</v>
      </c>
      <c r="H198" t="s">
        <v>841</v>
      </c>
      <c r="I198" t="s">
        <v>841</v>
      </c>
      <c r="J198" t="s">
        <v>841</v>
      </c>
      <c r="K198" t="s">
        <v>841</v>
      </c>
    </row>
  </sheetData>
  <mergeCells count="12">
    <mergeCell ref="A140:B140"/>
    <mergeCell ref="A1:D1"/>
    <mergeCell ref="A2:D2"/>
    <mergeCell ref="A3:D3"/>
    <mergeCell ref="A4:D4"/>
    <mergeCell ref="A5:C5"/>
    <mergeCell ref="A6:C6"/>
    <mergeCell ref="A27:D27"/>
    <mergeCell ref="A28:D28"/>
    <mergeCell ref="A90:C90"/>
    <mergeCell ref="A91:C91"/>
    <mergeCell ref="A139:B139"/>
  </mergeCells>
  <pageMargins left="0.25" right="0.25" top="0.5" bottom="0.5" header="0.5" footer="0.5"/>
  <pageSetup paperSize="9" fitToHeight="32767" orientation="landscape"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297"/>
  <sheetViews>
    <sheetView zoomScaleNormal="100" workbookViewId="0"/>
  </sheetViews>
  <sheetFormatPr defaultRowHeight="12.75" customHeight="1" outlineLevelRow="3" x14ac:dyDescent="0.2"/>
  <cols>
    <col min="1" max="1" width="30.85546875" customWidth="1"/>
    <col min="2" max="13" width="16" customWidth="1"/>
  </cols>
  <sheetData>
    <row r="1" spans="1:13" ht="12.75" customHeight="1" x14ac:dyDescent="0.2">
      <c r="A1" s="270" t="str">
        <f>Inputs!E7</f>
        <v>ModelSheet Software</v>
      </c>
      <c r="B1" s="270"/>
      <c r="C1" s="270"/>
      <c r="D1" s="270"/>
    </row>
    <row r="2" spans="1:13" ht="12.75" customHeight="1" x14ac:dyDescent="0.2">
      <c r="A2" s="270" t="str">
        <f>Inputs!E9</f>
        <v>Project Test</v>
      </c>
      <c r="B2" s="270"/>
      <c r="C2" s="270"/>
      <c r="D2" s="270"/>
    </row>
    <row r="3" spans="1:13" ht="12.75" customHeight="1" x14ac:dyDescent="0.2">
      <c r="A3" s="270" t="str">
        <f>"Equity Financing"</f>
        <v>Equity Financing</v>
      </c>
      <c r="B3" s="270"/>
      <c r="C3" s="270"/>
      <c r="D3" s="270"/>
    </row>
    <row r="4" spans="1:13" ht="12.75" customHeight="1" x14ac:dyDescent="0.2">
      <c r="A4" s="270" t="str">
        <f>" "</f>
        <v xml:space="preserve"> </v>
      </c>
      <c r="B4" s="270"/>
      <c r="C4" s="270"/>
      <c r="D4" s="270"/>
    </row>
    <row r="5" spans="1:13" ht="12.75" customHeight="1" x14ac:dyDescent="0.2">
      <c r="A5" s="2" t="str">
        <f>"Cash Flow"</f>
        <v>Cash Flow</v>
      </c>
    </row>
    <row r="6" spans="1:13" ht="12.75" customHeight="1" x14ac:dyDescent="0.2">
      <c r="A6" s="2" t="str">
        <f>""</f>
        <v/>
      </c>
    </row>
    <row r="7" spans="1:13" ht="12.75" customHeight="1" x14ac:dyDescent="0.2">
      <c r="B7" s="17" t="str">
        <f>'(FnCalls 1)'!G6</f>
        <v>Q4 2010</v>
      </c>
      <c r="C7" s="62" t="str">
        <f>'(FnCalls 1)'!H4</f>
        <v>2010</v>
      </c>
      <c r="D7" s="18" t="str">
        <f>'(FnCalls 1)'!G7</f>
        <v>Q1 2011</v>
      </c>
      <c r="E7" s="18" t="str">
        <f>'(FnCalls 1)'!G8</f>
        <v>Q2 2011</v>
      </c>
      <c r="F7" s="18" t="str">
        <f>'(FnCalls 1)'!G9</f>
        <v>Q3 2011</v>
      </c>
      <c r="G7" s="18" t="str">
        <f>'(FnCalls 1)'!G10</f>
        <v>Q4 2011</v>
      </c>
      <c r="H7" s="62" t="str">
        <f>'(FnCalls 1)'!H7</f>
        <v>2011</v>
      </c>
      <c r="I7" s="18" t="str">
        <f>'(FnCalls 1)'!G11</f>
        <v>Q1 2012</v>
      </c>
      <c r="J7" s="18" t="str">
        <f>'(FnCalls 1)'!G12</f>
        <v>Q2 2012</v>
      </c>
      <c r="K7" s="18" t="str">
        <f>'(FnCalls 1)'!G13</f>
        <v>Q3 2012</v>
      </c>
      <c r="L7" s="18" t="str">
        <f>'(FnCalls 1)'!G14</f>
        <v>Q4 2012</v>
      </c>
      <c r="M7" s="62" t="str">
        <f>'(FnCalls 1)'!H11</f>
        <v>2012</v>
      </c>
    </row>
    <row r="8" spans="1:13" ht="12.75" customHeight="1" x14ac:dyDescent="0.2">
      <c r="A8" s="111" t="str">
        <f>Labels!B15</f>
        <v>Cash Flow - Equity Fin</v>
      </c>
      <c r="B8" s="110"/>
      <c r="C8" s="75"/>
      <c r="D8" s="110"/>
      <c r="E8" s="110"/>
      <c r="F8" s="110"/>
      <c r="G8" s="110"/>
      <c r="H8" s="75"/>
      <c r="I8" s="110"/>
      <c r="J8" s="110"/>
      <c r="K8" s="110"/>
      <c r="L8" s="110"/>
      <c r="M8" s="75"/>
    </row>
    <row r="9" spans="1:13" ht="12.75" customHeight="1" x14ac:dyDescent="0.2">
      <c r="A9" s="114" t="str">
        <f>"   "&amp;Labels!B182</f>
        <v xml:space="preserve">   Catamarans</v>
      </c>
      <c r="B9" s="113">
        <f>SUM(B18:B22)</f>
        <v>0</v>
      </c>
      <c r="C9" s="69">
        <f>SUM(B18:B22)</f>
        <v>0</v>
      </c>
      <c r="D9" s="113">
        <f>SUM(D18:D22)</f>
        <v>0</v>
      </c>
      <c r="E9" s="113">
        <f>SUM(E18:E22)</f>
        <v>0</v>
      </c>
      <c r="F9" s="113">
        <f>SUM(F18:F22)</f>
        <v>0</v>
      </c>
      <c r="G9" s="113">
        <f>SUM(G18:G22)</f>
        <v>0</v>
      </c>
      <c r="H9" s="69">
        <f>SUM(D9:G9)</f>
        <v>0</v>
      </c>
      <c r="I9" s="113">
        <f>SUM(I18:I22)</f>
        <v>0</v>
      </c>
      <c r="J9" s="113">
        <f>SUM(J18:J22)</f>
        <v>0</v>
      </c>
      <c r="K9" s="113">
        <f>SUM(K18:K22)</f>
        <v>0</v>
      </c>
      <c r="L9" s="113">
        <f>SUM(L18:L22)</f>
        <v>0</v>
      </c>
      <c r="M9" s="69">
        <f>SUM(I9:L9)</f>
        <v>0</v>
      </c>
    </row>
    <row r="10" spans="1:13" ht="12.75" customHeight="1" x14ac:dyDescent="0.2">
      <c r="A10" s="114" t="str">
        <f>"   "&amp;Labels!B183</f>
        <v xml:space="preserve">   Canoes</v>
      </c>
      <c r="B10" s="113">
        <f>SUM(B25:B29)</f>
        <v>0</v>
      </c>
      <c r="C10" s="69">
        <f>SUM(B25:B29)</f>
        <v>0</v>
      </c>
      <c r="D10" s="113">
        <f>SUM(D25:D29)</f>
        <v>0</v>
      </c>
      <c r="E10" s="113">
        <f>SUM(E25:E29)</f>
        <v>0</v>
      </c>
      <c r="F10" s="113">
        <f>SUM(F25:F29)</f>
        <v>0</v>
      </c>
      <c r="G10" s="113">
        <f>SUM(G25:G29)</f>
        <v>0</v>
      </c>
      <c r="H10" s="69">
        <f>SUM(D10:G10)</f>
        <v>0</v>
      </c>
      <c r="I10" s="113">
        <f>SUM(I25:I29)</f>
        <v>0</v>
      </c>
      <c r="J10" s="113">
        <f>SUM(J25:J29)</f>
        <v>0</v>
      </c>
      <c r="K10" s="113">
        <f>SUM(K25:K29)</f>
        <v>0</v>
      </c>
      <c r="L10" s="113">
        <f>SUM(L25:L29)</f>
        <v>0</v>
      </c>
      <c r="M10" s="69">
        <f>SUM(I10:L10)</f>
        <v>0</v>
      </c>
    </row>
    <row r="11" spans="1:13" ht="12.75" customHeight="1" x14ac:dyDescent="0.2">
      <c r="A11" s="121" t="str">
        <f>"   "&amp;Labels!C181</f>
        <v xml:space="preserve">   Total</v>
      </c>
      <c r="B11" s="132">
        <f>SUM(B9:B10)</f>
        <v>0</v>
      </c>
      <c r="C11" s="70">
        <f>SUM(B9:B10)</f>
        <v>0</v>
      </c>
      <c r="D11" s="132">
        <f>SUM(D9:D10)</f>
        <v>0</v>
      </c>
      <c r="E11" s="132">
        <f>SUM(E9:E10)</f>
        <v>0</v>
      </c>
      <c r="F11" s="132">
        <f>SUM(F9:F10)</f>
        <v>0</v>
      </c>
      <c r="G11" s="132">
        <f>SUM(G9:G10)</f>
        <v>0</v>
      </c>
      <c r="H11" s="70">
        <f>SUM(D11:G11)</f>
        <v>0</v>
      </c>
      <c r="I11" s="132">
        <f>SUM(I9:I10)</f>
        <v>0</v>
      </c>
      <c r="J11" s="132">
        <f>SUM(J9:J10)</f>
        <v>0</v>
      </c>
      <c r="K11" s="132">
        <f>SUM(K9:K10)</f>
        <v>0</v>
      </c>
      <c r="L11" s="132">
        <f>SUM(L9:L10)</f>
        <v>0</v>
      </c>
      <c r="M11" s="70">
        <f>SUM(I11:L11)</f>
        <v>0</v>
      </c>
    </row>
    <row r="13" spans="1:13" ht="12.75" customHeight="1" x14ac:dyDescent="0.2">
      <c r="A13" s="3" t="str">
        <f>"Cash Flow - Detail"</f>
        <v>Cash Flow - Detail</v>
      </c>
    </row>
    <row r="14" spans="1:13" ht="12.75" hidden="1" customHeight="1" outlineLevel="1" x14ac:dyDescent="0.2">
      <c r="A14" s="3" t="str">
        <f>" "</f>
        <v xml:space="preserve"> </v>
      </c>
    </row>
    <row r="15" spans="1:13" ht="12.75" hidden="1" customHeight="1" outlineLevel="1" x14ac:dyDescent="0.2">
      <c r="B15" s="17" t="str">
        <f>'(FnCalls 1)'!G6</f>
        <v>Q4 2010</v>
      </c>
      <c r="C15" s="62" t="str">
        <f>'(FnCalls 1)'!H4</f>
        <v>2010</v>
      </c>
      <c r="D15" s="18" t="str">
        <f>'(FnCalls 1)'!G7</f>
        <v>Q1 2011</v>
      </c>
      <c r="E15" s="18" t="str">
        <f>'(FnCalls 1)'!G8</f>
        <v>Q2 2011</v>
      </c>
      <c r="F15" s="18" t="str">
        <f>'(FnCalls 1)'!G9</f>
        <v>Q3 2011</v>
      </c>
      <c r="G15" s="18" t="str">
        <f>'(FnCalls 1)'!G10</f>
        <v>Q4 2011</v>
      </c>
      <c r="H15" s="62" t="str">
        <f>'(FnCalls 1)'!H7</f>
        <v>2011</v>
      </c>
      <c r="I15" s="18" t="str">
        <f>'(FnCalls 1)'!G11</f>
        <v>Q1 2012</v>
      </c>
      <c r="J15" s="18" t="str">
        <f>'(FnCalls 1)'!G12</f>
        <v>Q2 2012</v>
      </c>
      <c r="K15" s="18" t="str">
        <f>'(FnCalls 1)'!G13</f>
        <v>Q3 2012</v>
      </c>
      <c r="L15" s="18" t="str">
        <f>'(FnCalls 1)'!G14</f>
        <v>Q4 2012</v>
      </c>
      <c r="M15" s="62" t="str">
        <f>'(FnCalls 1)'!H11</f>
        <v>2012</v>
      </c>
    </row>
    <row r="16" spans="1:13" ht="12.75" hidden="1" customHeight="1" outlineLevel="1" x14ac:dyDescent="0.2">
      <c r="A16" s="111" t="str">
        <f>Labels!B15</f>
        <v>Cash Flow - Equity Fin</v>
      </c>
      <c r="B16" s="110"/>
      <c r="C16" s="75"/>
      <c r="D16" s="110"/>
      <c r="E16" s="110"/>
      <c r="F16" s="110"/>
      <c r="G16" s="110"/>
      <c r="H16" s="75"/>
      <c r="I16" s="110"/>
      <c r="J16" s="110"/>
      <c r="K16" s="110"/>
      <c r="L16" s="110"/>
      <c r="M16" s="75"/>
    </row>
    <row r="17" spans="1:13" ht="12.75" hidden="1" customHeight="1" outlineLevel="1" x14ac:dyDescent="0.2">
      <c r="A17" s="114" t="str">
        <f>"   "&amp;Labels!B182</f>
        <v xml:space="preserve">   Catamarans</v>
      </c>
      <c r="B17" s="113"/>
      <c r="C17" s="69"/>
      <c r="D17" s="113"/>
      <c r="E17" s="113"/>
      <c r="F17" s="113"/>
      <c r="G17" s="113"/>
      <c r="H17" s="69"/>
      <c r="I17" s="113"/>
      <c r="J17" s="113"/>
      <c r="K17" s="113"/>
      <c r="L17" s="113"/>
      <c r="M17" s="69"/>
    </row>
    <row r="18" spans="1:13" ht="12.75" hidden="1" customHeight="1" outlineLevel="1" x14ac:dyDescent="0.2">
      <c r="A18" s="144" t="str">
        <f>"      "&amp;Labels!B145</f>
        <v xml:space="preserve">      EBITDA</v>
      </c>
      <c r="B18" s="159">
        <f>0</f>
        <v>0</v>
      </c>
      <c r="C18" s="69">
        <f>B18</f>
        <v>0</v>
      </c>
      <c r="D18" s="159">
        <f>Operations!B46</f>
        <v>0</v>
      </c>
      <c r="E18" s="159">
        <f>Operations!C46</f>
        <v>0</v>
      </c>
      <c r="F18" s="159">
        <f>Operations!D46</f>
        <v>0</v>
      </c>
      <c r="G18" s="159">
        <f>Operations!E46</f>
        <v>0</v>
      </c>
      <c r="H18" s="69">
        <f t="shared" ref="H18:H23" si="0">SUM(D18:G18)</f>
        <v>0</v>
      </c>
      <c r="I18" s="159">
        <f>Operations!G46</f>
        <v>0</v>
      </c>
      <c r="J18" s="159">
        <f>Operations!H46</f>
        <v>0</v>
      </c>
      <c r="K18" s="159">
        <f>Operations!I46</f>
        <v>0</v>
      </c>
      <c r="L18" s="159">
        <f>Operations!J46</f>
        <v>0</v>
      </c>
      <c r="M18" s="69">
        <f t="shared" ref="M18:M23" si="1">SUM(I18:L18)</f>
        <v>0</v>
      </c>
    </row>
    <row r="19" spans="1:13" ht="12.75" hidden="1" customHeight="1" outlineLevel="1" x14ac:dyDescent="0.2">
      <c r="A19" s="144" t="str">
        <f>"      "&amp;Labels!B146</f>
        <v xml:space="preserve">      Fixed Invest</v>
      </c>
      <c r="B19" s="159">
        <f>B46</f>
        <v>0</v>
      </c>
      <c r="C19" s="69">
        <f>B19</f>
        <v>0</v>
      </c>
      <c r="D19" s="159">
        <f>D46</f>
        <v>0</v>
      </c>
      <c r="E19" s="159">
        <f>E46</f>
        <v>0</v>
      </c>
      <c r="F19" s="159">
        <f>F46</f>
        <v>0</v>
      </c>
      <c r="G19" s="159">
        <f>G46</f>
        <v>0</v>
      </c>
      <c r="H19" s="69">
        <f t="shared" si="0"/>
        <v>0</v>
      </c>
      <c r="I19" s="159">
        <f>I46</f>
        <v>0</v>
      </c>
      <c r="J19" s="159">
        <f>J46</f>
        <v>0</v>
      </c>
      <c r="K19" s="159">
        <f>K46</f>
        <v>0</v>
      </c>
      <c r="L19" s="159">
        <f>L46</f>
        <v>0</v>
      </c>
      <c r="M19" s="69">
        <f t="shared" si="1"/>
        <v>0</v>
      </c>
    </row>
    <row r="20" spans="1:13" ht="12.75" hidden="1" customHeight="1" outlineLevel="1" x14ac:dyDescent="0.2">
      <c r="A20" s="144" t="str">
        <f>"      "&amp;Labels!B147</f>
        <v xml:space="preserve">      Inv Tax Credit</v>
      </c>
      <c r="B20" s="159">
        <f>'(Tables)'!B216</f>
        <v>0</v>
      </c>
      <c r="C20" s="69">
        <f>B20</f>
        <v>0</v>
      </c>
      <c r="D20" s="159">
        <f>'(Tables)'!D216</f>
        <v>0</v>
      </c>
      <c r="E20" s="159">
        <f>'(Tables)'!E216</f>
        <v>0</v>
      </c>
      <c r="F20" s="159">
        <f>'(Tables)'!F216</f>
        <v>0</v>
      </c>
      <c r="G20" s="159">
        <f>'(Tables)'!G216</f>
        <v>0</v>
      </c>
      <c r="H20" s="69">
        <f t="shared" si="0"/>
        <v>0</v>
      </c>
      <c r="I20" s="159">
        <f>'(Tables)'!I216</f>
        <v>0</v>
      </c>
      <c r="J20" s="159">
        <f>'(Tables)'!J216</f>
        <v>0</v>
      </c>
      <c r="K20" s="159">
        <f>'(Tables)'!K216</f>
        <v>0</v>
      </c>
      <c r="L20" s="159">
        <f>'(Tables)'!L216</f>
        <v>0</v>
      </c>
      <c r="M20" s="69">
        <f t="shared" si="1"/>
        <v>0</v>
      </c>
    </row>
    <row r="21" spans="1:13" ht="12.75" hidden="1" customHeight="1" outlineLevel="1" x14ac:dyDescent="0.2">
      <c r="A21" s="144" t="str">
        <f>"      "&amp;Labels!B148</f>
        <v xml:space="preserve">      Working Cap</v>
      </c>
      <c r="B21" s="159">
        <f>B105</f>
        <v>0</v>
      </c>
      <c r="C21" s="69">
        <f>B21</f>
        <v>0</v>
      </c>
      <c r="D21" s="159">
        <f>D105</f>
        <v>0</v>
      </c>
      <c r="E21" s="159">
        <f>E105</f>
        <v>0</v>
      </c>
      <c r="F21" s="159">
        <f>F105</f>
        <v>0</v>
      </c>
      <c r="G21" s="159">
        <f>G105</f>
        <v>0</v>
      </c>
      <c r="H21" s="69">
        <f t="shared" si="0"/>
        <v>0</v>
      </c>
      <c r="I21" s="159">
        <f>I105</f>
        <v>0</v>
      </c>
      <c r="J21" s="159">
        <f>J105</f>
        <v>0</v>
      </c>
      <c r="K21" s="159">
        <f>K105</f>
        <v>0</v>
      </c>
      <c r="L21" s="159">
        <f>L105</f>
        <v>0</v>
      </c>
      <c r="M21" s="69">
        <f t="shared" si="1"/>
        <v>0</v>
      </c>
    </row>
    <row r="22" spans="1:13" ht="12.75" hidden="1" customHeight="1" outlineLevel="1" x14ac:dyDescent="0.2">
      <c r="A22" s="144" t="str">
        <f>"      "&amp;Labels!B149</f>
        <v xml:space="preserve">      Income Tax</v>
      </c>
      <c r="B22" s="159">
        <f>0</f>
        <v>0</v>
      </c>
      <c r="C22" s="69">
        <f>B22</f>
        <v>0</v>
      </c>
      <c r="D22" s="159">
        <f>(-Inputs!G108)*Operations!B46</f>
        <v>0</v>
      </c>
      <c r="E22" s="159">
        <f>(-Inputs!H108)*Operations!C46</f>
        <v>0</v>
      </c>
      <c r="F22" s="159">
        <f>(-Inputs!I108)*Operations!D46</f>
        <v>0</v>
      </c>
      <c r="G22" s="159">
        <f>(-Inputs!J108)*Operations!E46</f>
        <v>0</v>
      </c>
      <c r="H22" s="69">
        <f t="shared" si="0"/>
        <v>0</v>
      </c>
      <c r="I22" s="159">
        <f>(-Inputs!L108)*Operations!G46</f>
        <v>0</v>
      </c>
      <c r="J22" s="159">
        <f>(-Inputs!M108)*Operations!H46</f>
        <v>0</v>
      </c>
      <c r="K22" s="159">
        <f>(-Inputs!N108)*Operations!I46</f>
        <v>0</v>
      </c>
      <c r="L22" s="159">
        <f>(-Inputs!O108)*Operations!J46</f>
        <v>0</v>
      </c>
      <c r="M22" s="69">
        <f t="shared" si="1"/>
        <v>0</v>
      </c>
    </row>
    <row r="23" spans="1:13" ht="12.75" hidden="1" customHeight="1" outlineLevel="1" x14ac:dyDescent="0.2">
      <c r="A23" s="114" t="str">
        <f>"      "&amp;Labels!C144</f>
        <v xml:space="preserve">      Total</v>
      </c>
      <c r="B23" s="113">
        <f>SUM(B18:B22)</f>
        <v>0</v>
      </c>
      <c r="C23" s="69">
        <f>SUM(B18:B22)</f>
        <v>0</v>
      </c>
      <c r="D23" s="113">
        <f>SUM(D18:D22)</f>
        <v>0</v>
      </c>
      <c r="E23" s="113">
        <f>SUM(E18:E22)</f>
        <v>0</v>
      </c>
      <c r="F23" s="113">
        <f>SUM(F18:F22)</f>
        <v>0</v>
      </c>
      <c r="G23" s="113">
        <f>SUM(G18:G22)</f>
        <v>0</v>
      </c>
      <c r="H23" s="69">
        <f t="shared" si="0"/>
        <v>0</v>
      </c>
      <c r="I23" s="113">
        <f>SUM(I18:I22)</f>
        <v>0</v>
      </c>
      <c r="J23" s="113">
        <f>SUM(J18:J22)</f>
        <v>0</v>
      </c>
      <c r="K23" s="113">
        <f>SUM(K18:K22)</f>
        <v>0</v>
      </c>
      <c r="L23" s="113">
        <f>SUM(L18:L22)</f>
        <v>0</v>
      </c>
      <c r="M23" s="69">
        <f t="shared" si="1"/>
        <v>0</v>
      </c>
    </row>
    <row r="24" spans="1:13" ht="12.75" hidden="1" customHeight="1" outlineLevel="1" x14ac:dyDescent="0.2">
      <c r="A24" s="114" t="str">
        <f>"   "&amp;Labels!B183</f>
        <v xml:space="preserve">   Canoes</v>
      </c>
      <c r="B24" s="113"/>
      <c r="C24" s="69"/>
      <c r="D24" s="113"/>
      <c r="E24" s="113"/>
      <c r="F24" s="113"/>
      <c r="G24" s="113"/>
      <c r="H24" s="69"/>
      <c r="I24" s="113"/>
      <c r="J24" s="113"/>
      <c r="K24" s="113"/>
      <c r="L24" s="113"/>
      <c r="M24" s="69"/>
    </row>
    <row r="25" spans="1:13" ht="12.75" hidden="1" customHeight="1" outlineLevel="1" x14ac:dyDescent="0.2">
      <c r="A25" s="144" t="str">
        <f>"      "&amp;Labels!B145</f>
        <v xml:space="preserve">      EBITDA</v>
      </c>
      <c r="B25" s="159">
        <f>0</f>
        <v>0</v>
      </c>
      <c r="C25" s="69">
        <f>B25</f>
        <v>0</v>
      </c>
      <c r="D25" s="159">
        <f>Operations!B47</f>
        <v>0</v>
      </c>
      <c r="E25" s="159">
        <f>Operations!C47</f>
        <v>0</v>
      </c>
      <c r="F25" s="159">
        <f>Operations!D47</f>
        <v>0</v>
      </c>
      <c r="G25" s="159">
        <f>Operations!E47</f>
        <v>0</v>
      </c>
      <c r="H25" s="69">
        <f t="shared" ref="H25:H36" si="2">SUM(D25:G25)</f>
        <v>0</v>
      </c>
      <c r="I25" s="159">
        <f>Operations!G47</f>
        <v>0</v>
      </c>
      <c r="J25" s="159">
        <f>Operations!H47</f>
        <v>0</v>
      </c>
      <c r="K25" s="159">
        <f>Operations!I47</f>
        <v>0</v>
      </c>
      <c r="L25" s="159">
        <f>Operations!J47</f>
        <v>0</v>
      </c>
      <c r="M25" s="69">
        <f t="shared" ref="M25:M36" si="3">SUM(I25:L25)</f>
        <v>0</v>
      </c>
    </row>
    <row r="26" spans="1:13" ht="12.75" hidden="1" customHeight="1" outlineLevel="1" x14ac:dyDescent="0.2">
      <c r="A26" s="144" t="str">
        <f>"      "&amp;Labels!B146</f>
        <v xml:space="preserve">      Fixed Invest</v>
      </c>
      <c r="B26" s="159">
        <f>B50</f>
        <v>0</v>
      </c>
      <c r="C26" s="69">
        <f>B26</f>
        <v>0</v>
      </c>
      <c r="D26" s="159">
        <f>D50</f>
        <v>0</v>
      </c>
      <c r="E26" s="159">
        <f>E50</f>
        <v>0</v>
      </c>
      <c r="F26" s="159">
        <f>F50</f>
        <v>0</v>
      </c>
      <c r="G26" s="159">
        <f>G50</f>
        <v>0</v>
      </c>
      <c r="H26" s="69">
        <f t="shared" si="2"/>
        <v>0</v>
      </c>
      <c r="I26" s="159">
        <f>I50</f>
        <v>0</v>
      </c>
      <c r="J26" s="159">
        <f>J50</f>
        <v>0</v>
      </c>
      <c r="K26" s="159">
        <f>K50</f>
        <v>0</v>
      </c>
      <c r="L26" s="159">
        <f>L50</f>
        <v>0</v>
      </c>
      <c r="M26" s="69">
        <f t="shared" si="3"/>
        <v>0</v>
      </c>
    </row>
    <row r="27" spans="1:13" ht="12.75" hidden="1" customHeight="1" outlineLevel="1" x14ac:dyDescent="0.2">
      <c r="A27" s="144" t="str">
        <f>"      "&amp;Labels!B147</f>
        <v xml:space="preserve">      Inv Tax Credit</v>
      </c>
      <c r="B27" s="159">
        <f>'(Tables)'!B220</f>
        <v>0</v>
      </c>
      <c r="C27" s="69">
        <f>B27</f>
        <v>0</v>
      </c>
      <c r="D27" s="159">
        <f>'(Tables)'!D220</f>
        <v>0</v>
      </c>
      <c r="E27" s="159">
        <f>'(Tables)'!E220</f>
        <v>0</v>
      </c>
      <c r="F27" s="159">
        <f>'(Tables)'!F220</f>
        <v>0</v>
      </c>
      <c r="G27" s="159">
        <f>'(Tables)'!G220</f>
        <v>0</v>
      </c>
      <c r="H27" s="69">
        <f t="shared" si="2"/>
        <v>0</v>
      </c>
      <c r="I27" s="159">
        <f>'(Tables)'!I220</f>
        <v>0</v>
      </c>
      <c r="J27" s="159">
        <f>'(Tables)'!J220</f>
        <v>0</v>
      </c>
      <c r="K27" s="159">
        <f>'(Tables)'!K220</f>
        <v>0</v>
      </c>
      <c r="L27" s="159">
        <f>'(Tables)'!L220</f>
        <v>0</v>
      </c>
      <c r="M27" s="69">
        <f t="shared" si="3"/>
        <v>0</v>
      </c>
    </row>
    <row r="28" spans="1:13" ht="12.75" hidden="1" customHeight="1" outlineLevel="1" x14ac:dyDescent="0.2">
      <c r="A28" s="144" t="str">
        <f>"      "&amp;Labels!B148</f>
        <v xml:space="preserve">      Working Cap</v>
      </c>
      <c r="B28" s="159">
        <f>B106</f>
        <v>0</v>
      </c>
      <c r="C28" s="69">
        <f>B28</f>
        <v>0</v>
      </c>
      <c r="D28" s="159">
        <f>D106</f>
        <v>0</v>
      </c>
      <c r="E28" s="159">
        <f>E106</f>
        <v>0</v>
      </c>
      <c r="F28" s="159">
        <f>F106</f>
        <v>0</v>
      </c>
      <c r="G28" s="159">
        <f>G106</f>
        <v>0</v>
      </c>
      <c r="H28" s="69">
        <f t="shared" si="2"/>
        <v>0</v>
      </c>
      <c r="I28" s="159">
        <f>I106</f>
        <v>0</v>
      </c>
      <c r="J28" s="159">
        <f>J106</f>
        <v>0</v>
      </c>
      <c r="K28" s="159">
        <f>K106</f>
        <v>0</v>
      </c>
      <c r="L28" s="159">
        <f>L106</f>
        <v>0</v>
      </c>
      <c r="M28" s="69">
        <f t="shared" si="3"/>
        <v>0</v>
      </c>
    </row>
    <row r="29" spans="1:13" ht="12.75" hidden="1" customHeight="1" outlineLevel="1" x14ac:dyDescent="0.2">
      <c r="A29" s="144" t="str">
        <f>"      "&amp;Labels!B149</f>
        <v xml:space="preserve">      Income Tax</v>
      </c>
      <c r="B29" s="159">
        <f>0</f>
        <v>0</v>
      </c>
      <c r="C29" s="69">
        <f>B29</f>
        <v>0</v>
      </c>
      <c r="D29" s="159">
        <f>(-Inputs!G108)*Operations!B47</f>
        <v>0</v>
      </c>
      <c r="E29" s="159">
        <f>(-Inputs!H108)*Operations!C47</f>
        <v>0</v>
      </c>
      <c r="F29" s="159">
        <f>(-Inputs!I108)*Operations!D47</f>
        <v>0</v>
      </c>
      <c r="G29" s="159">
        <f>(-Inputs!J108)*Operations!E47</f>
        <v>0</v>
      </c>
      <c r="H29" s="69">
        <f t="shared" si="2"/>
        <v>0</v>
      </c>
      <c r="I29" s="159">
        <f>(-Inputs!L108)*Operations!G47</f>
        <v>0</v>
      </c>
      <c r="J29" s="159">
        <f>(-Inputs!M108)*Operations!H47</f>
        <v>0</v>
      </c>
      <c r="K29" s="159">
        <f>(-Inputs!N108)*Operations!I47</f>
        <v>0</v>
      </c>
      <c r="L29" s="159">
        <f>(-Inputs!O108)*Operations!J47</f>
        <v>0</v>
      </c>
      <c r="M29" s="69">
        <f t="shared" si="3"/>
        <v>0</v>
      </c>
    </row>
    <row r="30" spans="1:13" ht="12.75" hidden="1" customHeight="1" outlineLevel="1" x14ac:dyDescent="0.2">
      <c r="A30" s="114" t="str">
        <f>"      "&amp;Labels!C144</f>
        <v xml:space="preserve">      Total</v>
      </c>
      <c r="B30" s="113">
        <f>SUM(B25:B29)</f>
        <v>0</v>
      </c>
      <c r="C30" s="69">
        <f>SUM(B25:B29)</f>
        <v>0</v>
      </c>
      <c r="D30" s="113">
        <f>SUM(D25:D29)</f>
        <v>0</v>
      </c>
      <c r="E30" s="113">
        <f>SUM(E25:E29)</f>
        <v>0</v>
      </c>
      <c r="F30" s="113">
        <f>SUM(F25:F29)</f>
        <v>0</v>
      </c>
      <c r="G30" s="113">
        <f>SUM(G25:G29)</f>
        <v>0</v>
      </c>
      <c r="H30" s="69">
        <f t="shared" si="2"/>
        <v>0</v>
      </c>
      <c r="I30" s="113">
        <f>SUM(I25:I29)</f>
        <v>0</v>
      </c>
      <c r="J30" s="113">
        <f>SUM(J25:J29)</f>
        <v>0</v>
      </c>
      <c r="K30" s="113">
        <f>SUM(K25:K29)</f>
        <v>0</v>
      </c>
      <c r="L30" s="113">
        <f>SUM(L25:L29)</f>
        <v>0</v>
      </c>
      <c r="M30" s="69">
        <f t="shared" si="3"/>
        <v>0</v>
      </c>
    </row>
    <row r="31" spans="1:13" ht="12.75" hidden="1" customHeight="1" outlineLevel="1" x14ac:dyDescent="0.2">
      <c r="A31" s="117" t="str">
        <f>"   "&amp;Labels!C181</f>
        <v xml:space="preserve">   Total</v>
      </c>
      <c r="B31" s="120">
        <f>SUM(B23,B30)</f>
        <v>0</v>
      </c>
      <c r="C31" s="69">
        <f>SUM(B23,B30)</f>
        <v>0</v>
      </c>
      <c r="D31" s="120">
        <f>SUM(D23,D30)</f>
        <v>0</v>
      </c>
      <c r="E31" s="120">
        <f>SUM(E23,E30)</f>
        <v>0</v>
      </c>
      <c r="F31" s="120">
        <f>SUM(F23,F30)</f>
        <v>0</v>
      </c>
      <c r="G31" s="120">
        <f>SUM(G23,G30)</f>
        <v>0</v>
      </c>
      <c r="H31" s="69">
        <f t="shared" si="2"/>
        <v>0</v>
      </c>
      <c r="I31" s="120">
        <f>SUM(I23,I30)</f>
        <v>0</v>
      </c>
      <c r="J31" s="120">
        <f>SUM(J23,J30)</f>
        <v>0</v>
      </c>
      <c r="K31" s="120">
        <f>SUM(K23,K30)</f>
        <v>0</v>
      </c>
      <c r="L31" s="120">
        <f>SUM(L23,L30)</f>
        <v>0</v>
      </c>
      <c r="M31" s="69">
        <f t="shared" si="3"/>
        <v>0</v>
      </c>
    </row>
    <row r="32" spans="1:13" ht="12.75" hidden="1" customHeight="1" outlineLevel="1" x14ac:dyDescent="0.2">
      <c r="A32" s="144" t="str">
        <f>"      "&amp;Labels!B145</f>
        <v xml:space="preserve">      EBITDA</v>
      </c>
      <c r="B32" s="159">
        <f t="shared" ref="B32:B37" si="4">SUM(B18,B25)</f>
        <v>0</v>
      </c>
      <c r="C32" s="69">
        <f t="shared" ref="C32:C37" si="5">SUM(B18,B25)</f>
        <v>0</v>
      </c>
      <c r="D32" s="159">
        <f t="shared" ref="D32:G37" si="6">SUM(D18,D25)</f>
        <v>0</v>
      </c>
      <c r="E32" s="159">
        <f t="shared" si="6"/>
        <v>0</v>
      </c>
      <c r="F32" s="159">
        <f t="shared" si="6"/>
        <v>0</v>
      </c>
      <c r="G32" s="159">
        <f t="shared" si="6"/>
        <v>0</v>
      </c>
      <c r="H32" s="69">
        <f t="shared" si="2"/>
        <v>0</v>
      </c>
      <c r="I32" s="159">
        <f t="shared" ref="I32:L37" si="7">SUM(I18,I25)</f>
        <v>0</v>
      </c>
      <c r="J32" s="159">
        <f t="shared" si="7"/>
        <v>0</v>
      </c>
      <c r="K32" s="159">
        <f t="shared" si="7"/>
        <v>0</v>
      </c>
      <c r="L32" s="159">
        <f t="shared" si="7"/>
        <v>0</v>
      </c>
      <c r="M32" s="69">
        <f t="shared" si="3"/>
        <v>0</v>
      </c>
    </row>
    <row r="33" spans="1:13" ht="12.75" hidden="1" customHeight="1" outlineLevel="1" x14ac:dyDescent="0.2">
      <c r="A33" s="144" t="str">
        <f>"      "&amp;Labels!B146</f>
        <v xml:space="preserve">      Fixed Invest</v>
      </c>
      <c r="B33" s="159">
        <f t="shared" si="4"/>
        <v>0</v>
      </c>
      <c r="C33" s="69">
        <f t="shared" si="5"/>
        <v>0</v>
      </c>
      <c r="D33" s="159">
        <f t="shared" si="6"/>
        <v>0</v>
      </c>
      <c r="E33" s="159">
        <f t="shared" si="6"/>
        <v>0</v>
      </c>
      <c r="F33" s="159">
        <f t="shared" si="6"/>
        <v>0</v>
      </c>
      <c r="G33" s="159">
        <f t="shared" si="6"/>
        <v>0</v>
      </c>
      <c r="H33" s="69">
        <f t="shared" si="2"/>
        <v>0</v>
      </c>
      <c r="I33" s="159">
        <f t="shared" si="7"/>
        <v>0</v>
      </c>
      <c r="J33" s="159">
        <f t="shared" si="7"/>
        <v>0</v>
      </c>
      <c r="K33" s="159">
        <f t="shared" si="7"/>
        <v>0</v>
      </c>
      <c r="L33" s="159">
        <f t="shared" si="7"/>
        <v>0</v>
      </c>
      <c r="M33" s="69">
        <f t="shared" si="3"/>
        <v>0</v>
      </c>
    </row>
    <row r="34" spans="1:13" ht="12.75" hidden="1" customHeight="1" outlineLevel="1" x14ac:dyDescent="0.2">
      <c r="A34" s="144" t="str">
        <f>"      "&amp;Labels!B147</f>
        <v xml:space="preserve">      Inv Tax Credit</v>
      </c>
      <c r="B34" s="159">
        <f t="shared" si="4"/>
        <v>0</v>
      </c>
      <c r="C34" s="69">
        <f t="shared" si="5"/>
        <v>0</v>
      </c>
      <c r="D34" s="159">
        <f t="shared" si="6"/>
        <v>0</v>
      </c>
      <c r="E34" s="159">
        <f t="shared" si="6"/>
        <v>0</v>
      </c>
      <c r="F34" s="159">
        <f t="shared" si="6"/>
        <v>0</v>
      </c>
      <c r="G34" s="159">
        <f t="shared" si="6"/>
        <v>0</v>
      </c>
      <c r="H34" s="69">
        <f t="shared" si="2"/>
        <v>0</v>
      </c>
      <c r="I34" s="159">
        <f t="shared" si="7"/>
        <v>0</v>
      </c>
      <c r="J34" s="159">
        <f t="shared" si="7"/>
        <v>0</v>
      </c>
      <c r="K34" s="159">
        <f t="shared" si="7"/>
        <v>0</v>
      </c>
      <c r="L34" s="159">
        <f t="shared" si="7"/>
        <v>0</v>
      </c>
      <c r="M34" s="69">
        <f t="shared" si="3"/>
        <v>0</v>
      </c>
    </row>
    <row r="35" spans="1:13" ht="12.75" hidden="1" customHeight="1" outlineLevel="1" x14ac:dyDescent="0.2">
      <c r="A35" s="144" t="str">
        <f>"      "&amp;Labels!B148</f>
        <v xml:space="preserve">      Working Cap</v>
      </c>
      <c r="B35" s="159">
        <f t="shared" si="4"/>
        <v>0</v>
      </c>
      <c r="C35" s="69">
        <f t="shared" si="5"/>
        <v>0</v>
      </c>
      <c r="D35" s="159">
        <f t="shared" si="6"/>
        <v>0</v>
      </c>
      <c r="E35" s="159">
        <f t="shared" si="6"/>
        <v>0</v>
      </c>
      <c r="F35" s="159">
        <f t="shared" si="6"/>
        <v>0</v>
      </c>
      <c r="G35" s="159">
        <f t="shared" si="6"/>
        <v>0</v>
      </c>
      <c r="H35" s="69">
        <f t="shared" si="2"/>
        <v>0</v>
      </c>
      <c r="I35" s="159">
        <f t="shared" si="7"/>
        <v>0</v>
      </c>
      <c r="J35" s="159">
        <f t="shared" si="7"/>
        <v>0</v>
      </c>
      <c r="K35" s="159">
        <f t="shared" si="7"/>
        <v>0</v>
      </c>
      <c r="L35" s="159">
        <f t="shared" si="7"/>
        <v>0</v>
      </c>
      <c r="M35" s="69">
        <f t="shared" si="3"/>
        <v>0</v>
      </c>
    </row>
    <row r="36" spans="1:13" ht="12.75" hidden="1" customHeight="1" outlineLevel="1" x14ac:dyDescent="0.2">
      <c r="A36" s="144" t="str">
        <f>"      "&amp;Labels!B149</f>
        <v xml:space="preserve">      Income Tax</v>
      </c>
      <c r="B36" s="159">
        <f t="shared" si="4"/>
        <v>0</v>
      </c>
      <c r="C36" s="69">
        <f t="shared" si="5"/>
        <v>0</v>
      </c>
      <c r="D36" s="159">
        <f t="shared" si="6"/>
        <v>0</v>
      </c>
      <c r="E36" s="159">
        <f t="shared" si="6"/>
        <v>0</v>
      </c>
      <c r="F36" s="159">
        <f t="shared" si="6"/>
        <v>0</v>
      </c>
      <c r="G36" s="159">
        <f t="shared" si="6"/>
        <v>0</v>
      </c>
      <c r="H36" s="69">
        <f t="shared" si="2"/>
        <v>0</v>
      </c>
      <c r="I36" s="159">
        <f t="shared" si="7"/>
        <v>0</v>
      </c>
      <c r="J36" s="159">
        <f t="shared" si="7"/>
        <v>0</v>
      </c>
      <c r="K36" s="159">
        <f t="shared" si="7"/>
        <v>0</v>
      </c>
      <c r="L36" s="159">
        <f t="shared" si="7"/>
        <v>0</v>
      </c>
      <c r="M36" s="69">
        <f t="shared" si="3"/>
        <v>0</v>
      </c>
    </row>
    <row r="37" spans="1:13" ht="12.75" hidden="1" customHeight="1" outlineLevel="1" x14ac:dyDescent="0.2">
      <c r="A37" s="145" t="str">
        <f>"      "&amp;Labels!C144</f>
        <v xml:space="preserve">      Total</v>
      </c>
      <c r="B37" s="123">
        <f t="shared" si="4"/>
        <v>0</v>
      </c>
      <c r="C37" s="70">
        <f t="shared" si="5"/>
        <v>0</v>
      </c>
      <c r="D37" s="123">
        <f t="shared" si="6"/>
        <v>0</v>
      </c>
      <c r="E37" s="123">
        <f t="shared" si="6"/>
        <v>0</v>
      </c>
      <c r="F37" s="123">
        <f t="shared" si="6"/>
        <v>0</v>
      </c>
      <c r="G37" s="123">
        <f t="shared" si="6"/>
        <v>0</v>
      </c>
      <c r="H37" s="70">
        <f>SUM(D31:G31)</f>
        <v>0</v>
      </c>
      <c r="I37" s="123">
        <f t="shared" si="7"/>
        <v>0</v>
      </c>
      <c r="J37" s="123">
        <f t="shared" si="7"/>
        <v>0</v>
      </c>
      <c r="K37" s="123">
        <f t="shared" si="7"/>
        <v>0</v>
      </c>
      <c r="L37" s="123">
        <f t="shared" si="7"/>
        <v>0</v>
      </c>
      <c r="M37" s="70">
        <f>SUM(I31:L31)</f>
        <v>0</v>
      </c>
    </row>
    <row r="38" spans="1:13" ht="12.75" hidden="1" customHeight="1" outlineLevel="1" collapsed="1" x14ac:dyDescent="0.2"/>
    <row r="39" spans="1:13" ht="12.75" customHeight="1" collapsed="1" x14ac:dyDescent="0.2">
      <c r="A39" s="272" t="str">
        <f>"Cash Flow - Fixed Investment"</f>
        <v>Cash Flow - Fixed Investment</v>
      </c>
      <c r="B39" s="272"/>
    </row>
    <row r="40" spans="1:13" ht="12.75" hidden="1" customHeight="1" outlineLevel="1" x14ac:dyDescent="0.2">
      <c r="A40" s="272" t="str">
        <f>""</f>
        <v/>
      </c>
      <c r="B40" s="272"/>
    </row>
    <row r="41" spans="1:13" ht="12.75" hidden="1" customHeight="1" outlineLevel="1" x14ac:dyDescent="0.2">
      <c r="B41" s="17" t="str">
        <f>'(FnCalls 1)'!G6</f>
        <v>Q4 2010</v>
      </c>
      <c r="C41" s="62" t="str">
        <f>'(FnCalls 1)'!H4</f>
        <v>2010</v>
      </c>
      <c r="D41" s="18" t="str">
        <f>'(FnCalls 1)'!G7</f>
        <v>Q1 2011</v>
      </c>
      <c r="E41" s="18" t="str">
        <f>'(FnCalls 1)'!G8</f>
        <v>Q2 2011</v>
      </c>
      <c r="F41" s="18" t="str">
        <f>'(FnCalls 1)'!G9</f>
        <v>Q3 2011</v>
      </c>
      <c r="G41" s="18" t="str">
        <f>'(FnCalls 1)'!G10</f>
        <v>Q4 2011</v>
      </c>
      <c r="H41" s="62" t="str">
        <f>'(FnCalls 1)'!H7</f>
        <v>2011</v>
      </c>
      <c r="I41" s="18" t="str">
        <f>'(FnCalls 1)'!G11</f>
        <v>Q1 2012</v>
      </c>
      <c r="J41" s="18" t="str">
        <f>'(FnCalls 1)'!G12</f>
        <v>Q2 2012</v>
      </c>
      <c r="K41" s="18" t="str">
        <f>'(FnCalls 1)'!G13</f>
        <v>Q3 2012</v>
      </c>
      <c r="L41" s="18" t="str">
        <f>'(FnCalls 1)'!G14</f>
        <v>Q4 2012</v>
      </c>
      <c r="M41" s="62" t="str">
        <f>'(FnCalls 1)'!H11</f>
        <v>2012</v>
      </c>
    </row>
    <row r="42" spans="1:13" ht="12.75" hidden="1" customHeight="1" outlineLevel="1" x14ac:dyDescent="0.2">
      <c r="A42" s="111" t="str">
        <f>Labels!B17</f>
        <v xml:space="preserve">Cash Flow - Fixed Investment </v>
      </c>
      <c r="B42" s="110"/>
      <c r="C42" s="75"/>
      <c r="D42" s="110"/>
      <c r="E42" s="110"/>
      <c r="F42" s="110"/>
      <c r="G42" s="110"/>
      <c r="H42" s="75"/>
      <c r="I42" s="110"/>
      <c r="J42" s="110"/>
      <c r="K42" s="110"/>
      <c r="L42" s="110"/>
      <c r="M42" s="75"/>
    </row>
    <row r="43" spans="1:13" ht="12.75" hidden="1" customHeight="1" outlineLevel="1" x14ac:dyDescent="0.2">
      <c r="A43" s="114" t="str">
        <f>"   "&amp;Labels!B182</f>
        <v xml:space="preserve">   Catamarans</v>
      </c>
      <c r="B43" s="113"/>
      <c r="C43" s="69"/>
      <c r="D43" s="113"/>
      <c r="E43" s="113"/>
      <c r="F43" s="113"/>
      <c r="G43" s="113"/>
      <c r="H43" s="69"/>
      <c r="I43" s="113"/>
      <c r="J43" s="113"/>
      <c r="K43" s="113"/>
      <c r="L43" s="113"/>
      <c r="M43" s="69"/>
    </row>
    <row r="44" spans="1:13" ht="12.75" hidden="1" customHeight="1" outlineLevel="1" x14ac:dyDescent="0.2">
      <c r="A44" s="144" t="str">
        <f>"      "&amp;Labels!B170</f>
        <v xml:space="preserve">      Invest 1</v>
      </c>
      <c r="B44" s="159">
        <f>SUM(B62,B66)</f>
        <v>0</v>
      </c>
      <c r="C44" s="69">
        <f>SUM(B62,B66)</f>
        <v>0</v>
      </c>
      <c r="D44" s="159">
        <f t="shared" ref="D44:G46" si="8">SUM(D62,D66)</f>
        <v>0</v>
      </c>
      <c r="E44" s="159">
        <f t="shared" si="8"/>
        <v>0</v>
      </c>
      <c r="F44" s="159">
        <f t="shared" si="8"/>
        <v>0</v>
      </c>
      <c r="G44" s="159">
        <f t="shared" si="8"/>
        <v>0</v>
      </c>
      <c r="H44" s="69">
        <f>SUM(D44:G44)</f>
        <v>0</v>
      </c>
      <c r="I44" s="159">
        <f t="shared" ref="I44:L46" si="9">SUM(I62,I66)</f>
        <v>0</v>
      </c>
      <c r="J44" s="159">
        <f t="shared" si="9"/>
        <v>0</v>
      </c>
      <c r="K44" s="159">
        <f t="shared" si="9"/>
        <v>0</v>
      </c>
      <c r="L44" s="159">
        <f t="shared" si="9"/>
        <v>0</v>
      </c>
      <c r="M44" s="69">
        <f>SUM(I44:L44)</f>
        <v>0</v>
      </c>
    </row>
    <row r="45" spans="1:13" ht="12.75" hidden="1" customHeight="1" outlineLevel="1" x14ac:dyDescent="0.2">
      <c r="A45" s="144" t="str">
        <f>"      "&amp;Labels!B171</f>
        <v xml:space="preserve">      Invest 2</v>
      </c>
      <c r="B45" s="159">
        <f>SUM(B63,B67)</f>
        <v>0</v>
      </c>
      <c r="C45" s="69">
        <f>SUM(B63,B67)</f>
        <v>0</v>
      </c>
      <c r="D45" s="159">
        <f t="shared" si="8"/>
        <v>0</v>
      </c>
      <c r="E45" s="159">
        <f t="shared" si="8"/>
        <v>0</v>
      </c>
      <c r="F45" s="159">
        <f t="shared" si="8"/>
        <v>0</v>
      </c>
      <c r="G45" s="159">
        <f t="shared" si="8"/>
        <v>0</v>
      </c>
      <c r="H45" s="69">
        <f>SUM(D45:G45)</f>
        <v>0</v>
      </c>
      <c r="I45" s="159">
        <f t="shared" si="9"/>
        <v>0</v>
      </c>
      <c r="J45" s="159">
        <f t="shared" si="9"/>
        <v>0</v>
      </c>
      <c r="K45" s="159">
        <f t="shared" si="9"/>
        <v>0</v>
      </c>
      <c r="L45" s="159">
        <f t="shared" si="9"/>
        <v>0</v>
      </c>
      <c r="M45" s="69">
        <f>SUM(I45:L45)</f>
        <v>0</v>
      </c>
    </row>
    <row r="46" spans="1:13" ht="12.75" hidden="1" customHeight="1" outlineLevel="1" x14ac:dyDescent="0.2">
      <c r="A46" s="114" t="str">
        <f>"      "&amp;Labels!C169</f>
        <v xml:space="preserve">      Total</v>
      </c>
      <c r="B46" s="113">
        <f>SUM(B64,B68)</f>
        <v>0</v>
      </c>
      <c r="C46" s="69">
        <f>SUM(B44:B45)</f>
        <v>0</v>
      </c>
      <c r="D46" s="113">
        <f t="shared" si="8"/>
        <v>0</v>
      </c>
      <c r="E46" s="113">
        <f t="shared" si="8"/>
        <v>0</v>
      </c>
      <c r="F46" s="113">
        <f t="shared" si="8"/>
        <v>0</v>
      </c>
      <c r="G46" s="113">
        <f t="shared" si="8"/>
        <v>0</v>
      </c>
      <c r="H46" s="69">
        <f>SUM(D46:G46)</f>
        <v>0</v>
      </c>
      <c r="I46" s="113">
        <f t="shared" si="9"/>
        <v>0</v>
      </c>
      <c r="J46" s="113">
        <f t="shared" si="9"/>
        <v>0</v>
      </c>
      <c r="K46" s="113">
        <f t="shared" si="9"/>
        <v>0</v>
      </c>
      <c r="L46" s="113">
        <f t="shared" si="9"/>
        <v>0</v>
      </c>
      <c r="M46" s="69">
        <f>SUM(I46:L46)</f>
        <v>0</v>
      </c>
    </row>
    <row r="47" spans="1:13" ht="12.75" hidden="1" customHeight="1" outlineLevel="1" x14ac:dyDescent="0.2">
      <c r="A47" s="114" t="str">
        <f>"   "&amp;Labels!B183</f>
        <v xml:space="preserve">   Canoes</v>
      </c>
      <c r="B47" s="113"/>
      <c r="C47" s="69"/>
      <c r="D47" s="113"/>
      <c r="E47" s="113"/>
      <c r="F47" s="113"/>
      <c r="G47" s="113"/>
      <c r="H47" s="69"/>
      <c r="I47" s="113"/>
      <c r="J47" s="113"/>
      <c r="K47" s="113"/>
      <c r="L47" s="113"/>
      <c r="M47" s="69"/>
    </row>
    <row r="48" spans="1:13" ht="12.75" hidden="1" customHeight="1" outlineLevel="1" x14ac:dyDescent="0.2">
      <c r="A48" s="144" t="str">
        <f>"      "&amp;Labels!B170</f>
        <v xml:space="preserve">      Invest 1</v>
      </c>
      <c r="B48" s="159">
        <f>SUM(B75,B79)</f>
        <v>0</v>
      </c>
      <c r="C48" s="69">
        <f>SUM(B75,B79)</f>
        <v>0</v>
      </c>
      <c r="D48" s="159">
        <f t="shared" ref="D48:G50" si="10">SUM(D75,D79)</f>
        <v>0</v>
      </c>
      <c r="E48" s="159">
        <f t="shared" si="10"/>
        <v>0</v>
      </c>
      <c r="F48" s="159">
        <f t="shared" si="10"/>
        <v>0</v>
      </c>
      <c r="G48" s="159">
        <f t="shared" si="10"/>
        <v>0</v>
      </c>
      <c r="H48" s="69">
        <f t="shared" ref="H48:H53" si="11">SUM(D48:G48)</f>
        <v>0</v>
      </c>
      <c r="I48" s="159">
        <f t="shared" ref="I48:L50" si="12">SUM(I75,I79)</f>
        <v>0</v>
      </c>
      <c r="J48" s="159">
        <f t="shared" si="12"/>
        <v>0</v>
      </c>
      <c r="K48" s="159">
        <f t="shared" si="12"/>
        <v>0</v>
      </c>
      <c r="L48" s="159">
        <f t="shared" si="12"/>
        <v>0</v>
      </c>
      <c r="M48" s="69">
        <f t="shared" ref="M48:M53" si="13">SUM(I48:L48)</f>
        <v>0</v>
      </c>
    </row>
    <row r="49" spans="1:13" ht="12.75" hidden="1" customHeight="1" outlineLevel="1" x14ac:dyDescent="0.2">
      <c r="A49" s="144" t="str">
        <f>"      "&amp;Labels!B171</f>
        <v xml:space="preserve">      Invest 2</v>
      </c>
      <c r="B49" s="159">
        <f>SUM(B76,B80)</f>
        <v>0</v>
      </c>
      <c r="C49" s="69">
        <f>SUM(B76,B80)</f>
        <v>0</v>
      </c>
      <c r="D49" s="159">
        <f t="shared" si="10"/>
        <v>0</v>
      </c>
      <c r="E49" s="159">
        <f t="shared" si="10"/>
        <v>0</v>
      </c>
      <c r="F49" s="159">
        <f t="shared" si="10"/>
        <v>0</v>
      </c>
      <c r="G49" s="159">
        <f t="shared" si="10"/>
        <v>0</v>
      </c>
      <c r="H49" s="69">
        <f t="shared" si="11"/>
        <v>0</v>
      </c>
      <c r="I49" s="159">
        <f t="shared" si="12"/>
        <v>0</v>
      </c>
      <c r="J49" s="159">
        <f t="shared" si="12"/>
        <v>0</v>
      </c>
      <c r="K49" s="159">
        <f t="shared" si="12"/>
        <v>0</v>
      </c>
      <c r="L49" s="159">
        <f t="shared" si="12"/>
        <v>0</v>
      </c>
      <c r="M49" s="69">
        <f t="shared" si="13"/>
        <v>0</v>
      </c>
    </row>
    <row r="50" spans="1:13" ht="12.75" hidden="1" customHeight="1" outlineLevel="1" x14ac:dyDescent="0.2">
      <c r="A50" s="114" t="str">
        <f>"      "&amp;Labels!C169</f>
        <v xml:space="preserve">      Total</v>
      </c>
      <c r="B50" s="113">
        <f>SUM(B77,B81)</f>
        <v>0</v>
      </c>
      <c r="C50" s="69">
        <f>SUM(B48:B49)</f>
        <v>0</v>
      </c>
      <c r="D50" s="113">
        <f t="shared" si="10"/>
        <v>0</v>
      </c>
      <c r="E50" s="113">
        <f t="shared" si="10"/>
        <v>0</v>
      </c>
      <c r="F50" s="113">
        <f t="shared" si="10"/>
        <v>0</v>
      </c>
      <c r="G50" s="113">
        <f t="shared" si="10"/>
        <v>0</v>
      </c>
      <c r="H50" s="69">
        <f t="shared" si="11"/>
        <v>0</v>
      </c>
      <c r="I50" s="113">
        <f t="shared" si="12"/>
        <v>0</v>
      </c>
      <c r="J50" s="113">
        <f t="shared" si="12"/>
        <v>0</v>
      </c>
      <c r="K50" s="113">
        <f t="shared" si="12"/>
        <v>0</v>
      </c>
      <c r="L50" s="113">
        <f t="shared" si="12"/>
        <v>0</v>
      </c>
      <c r="M50" s="69">
        <f t="shared" si="13"/>
        <v>0</v>
      </c>
    </row>
    <row r="51" spans="1:13" ht="12.75" hidden="1" customHeight="1" outlineLevel="1" x14ac:dyDescent="0.2">
      <c r="A51" s="117" t="str">
        <f>"   "&amp;Labels!C181</f>
        <v xml:space="preserve">   Total</v>
      </c>
      <c r="B51" s="120">
        <f>SUM(B46,B50)</f>
        <v>0</v>
      </c>
      <c r="C51" s="69">
        <f>SUM(B46,B50)</f>
        <v>0</v>
      </c>
      <c r="D51" s="120">
        <f>SUM(D46,D50)</f>
        <v>0</v>
      </c>
      <c r="E51" s="120">
        <f>SUM(E46,E50)</f>
        <v>0</v>
      </c>
      <c r="F51" s="120">
        <f>SUM(F46,F50)</f>
        <v>0</v>
      </c>
      <c r="G51" s="120">
        <f>SUM(G46,G50)</f>
        <v>0</v>
      </c>
      <c r="H51" s="69">
        <f t="shared" si="11"/>
        <v>0</v>
      </c>
      <c r="I51" s="120">
        <f>SUM(I46,I50)</f>
        <v>0</v>
      </c>
      <c r="J51" s="120">
        <f>SUM(J46,J50)</f>
        <v>0</v>
      </c>
      <c r="K51" s="120">
        <f>SUM(K46,K50)</f>
        <v>0</v>
      </c>
      <c r="L51" s="120">
        <f>SUM(L46,L50)</f>
        <v>0</v>
      </c>
      <c r="M51" s="69">
        <f t="shared" si="13"/>
        <v>0</v>
      </c>
    </row>
    <row r="52" spans="1:13" ht="12.75" hidden="1" customHeight="1" outlineLevel="1" x14ac:dyDescent="0.2">
      <c r="A52" s="144" t="str">
        <f>"      "&amp;Labels!B170</f>
        <v xml:space="preserve">      Invest 1</v>
      </c>
      <c r="B52" s="159">
        <f>SUM(B44,B48)</f>
        <v>0</v>
      </c>
      <c r="C52" s="69">
        <f>SUM(B44,B48)</f>
        <v>0</v>
      </c>
      <c r="D52" s="159">
        <f t="shared" ref="D52:G54" si="14">SUM(D44,D48)</f>
        <v>0</v>
      </c>
      <c r="E52" s="159">
        <f t="shared" si="14"/>
        <v>0</v>
      </c>
      <c r="F52" s="159">
        <f t="shared" si="14"/>
        <v>0</v>
      </c>
      <c r="G52" s="159">
        <f t="shared" si="14"/>
        <v>0</v>
      </c>
      <c r="H52" s="69">
        <f t="shared" si="11"/>
        <v>0</v>
      </c>
      <c r="I52" s="159">
        <f t="shared" ref="I52:L54" si="15">SUM(I44,I48)</f>
        <v>0</v>
      </c>
      <c r="J52" s="159">
        <f t="shared" si="15"/>
        <v>0</v>
      </c>
      <c r="K52" s="159">
        <f t="shared" si="15"/>
        <v>0</v>
      </c>
      <c r="L52" s="159">
        <f t="shared" si="15"/>
        <v>0</v>
      </c>
      <c r="M52" s="69">
        <f t="shared" si="13"/>
        <v>0</v>
      </c>
    </row>
    <row r="53" spans="1:13" ht="12.75" hidden="1" customHeight="1" outlineLevel="1" x14ac:dyDescent="0.2">
      <c r="A53" s="144" t="str">
        <f>"      "&amp;Labels!B171</f>
        <v xml:space="preserve">      Invest 2</v>
      </c>
      <c r="B53" s="159">
        <f>SUM(B45,B49)</f>
        <v>0</v>
      </c>
      <c r="C53" s="69">
        <f>SUM(B45,B49)</f>
        <v>0</v>
      </c>
      <c r="D53" s="159">
        <f t="shared" si="14"/>
        <v>0</v>
      </c>
      <c r="E53" s="159">
        <f t="shared" si="14"/>
        <v>0</v>
      </c>
      <c r="F53" s="159">
        <f t="shared" si="14"/>
        <v>0</v>
      </c>
      <c r="G53" s="159">
        <f t="shared" si="14"/>
        <v>0</v>
      </c>
      <c r="H53" s="69">
        <f t="shared" si="11"/>
        <v>0</v>
      </c>
      <c r="I53" s="159">
        <f t="shared" si="15"/>
        <v>0</v>
      </c>
      <c r="J53" s="159">
        <f t="shared" si="15"/>
        <v>0</v>
      </c>
      <c r="K53" s="159">
        <f t="shared" si="15"/>
        <v>0</v>
      </c>
      <c r="L53" s="159">
        <f t="shared" si="15"/>
        <v>0</v>
      </c>
      <c r="M53" s="69">
        <f t="shared" si="13"/>
        <v>0</v>
      </c>
    </row>
    <row r="54" spans="1:13" ht="12.75" hidden="1" customHeight="1" outlineLevel="1" x14ac:dyDescent="0.2">
      <c r="A54" s="145" t="str">
        <f>"      "&amp;Labels!C169</f>
        <v xml:space="preserve">      Total</v>
      </c>
      <c r="B54" s="123">
        <f>SUM(B46,B50)</f>
        <v>0</v>
      </c>
      <c r="C54" s="70">
        <f>SUM(B46,B50)</f>
        <v>0</v>
      </c>
      <c r="D54" s="123">
        <f t="shared" si="14"/>
        <v>0</v>
      </c>
      <c r="E54" s="123">
        <f t="shared" si="14"/>
        <v>0</v>
      </c>
      <c r="F54" s="123">
        <f t="shared" si="14"/>
        <v>0</v>
      </c>
      <c r="G54" s="123">
        <f t="shared" si="14"/>
        <v>0</v>
      </c>
      <c r="H54" s="70">
        <f>SUM(D51:G51)</f>
        <v>0</v>
      </c>
      <c r="I54" s="123">
        <f t="shared" si="15"/>
        <v>0</v>
      </c>
      <c r="J54" s="123">
        <f t="shared" si="15"/>
        <v>0</v>
      </c>
      <c r="K54" s="123">
        <f t="shared" si="15"/>
        <v>0</v>
      </c>
      <c r="L54" s="123">
        <f t="shared" si="15"/>
        <v>0</v>
      </c>
      <c r="M54" s="70">
        <f>SUM(I51:L51)</f>
        <v>0</v>
      </c>
    </row>
    <row r="55" spans="1:13" ht="12.75" hidden="1" customHeight="1" outlineLevel="1" x14ac:dyDescent="0.2"/>
    <row r="56" spans="1:13" ht="12.75" hidden="1" customHeight="1" outlineLevel="1" x14ac:dyDescent="0.2">
      <c r="A56" s="272" t="str">
        <f>"CF Fixed Investment - Detail"</f>
        <v>CF Fixed Investment - Detail</v>
      </c>
      <c r="B56" s="272"/>
    </row>
    <row r="57" spans="1:13" ht="12.75" hidden="1" customHeight="1" outlineLevel="2" x14ac:dyDescent="0.2">
      <c r="A57" s="272" t="str">
        <f>" "</f>
        <v xml:space="preserve"> </v>
      </c>
      <c r="B57" s="272"/>
    </row>
    <row r="58" spans="1:13" ht="12.75" hidden="1" customHeight="1" outlineLevel="2" x14ac:dyDescent="0.2">
      <c r="B58" s="17" t="str">
        <f>'(FnCalls 1)'!G6</f>
        <v>Q4 2010</v>
      </c>
      <c r="C58" s="62" t="str">
        <f>'(FnCalls 1)'!H4</f>
        <v>2010</v>
      </c>
      <c r="D58" s="18" t="str">
        <f>'(FnCalls 1)'!G7</f>
        <v>Q1 2011</v>
      </c>
      <c r="E58" s="18" t="str">
        <f>'(FnCalls 1)'!G8</f>
        <v>Q2 2011</v>
      </c>
      <c r="F58" s="18" t="str">
        <f>'(FnCalls 1)'!G9</f>
        <v>Q3 2011</v>
      </c>
      <c r="G58" s="18" t="str">
        <f>'(FnCalls 1)'!G10</f>
        <v>Q4 2011</v>
      </c>
      <c r="H58" s="62" t="str">
        <f>'(FnCalls 1)'!H7</f>
        <v>2011</v>
      </c>
      <c r="I58" s="18" t="str">
        <f>'(FnCalls 1)'!G11</f>
        <v>Q1 2012</v>
      </c>
      <c r="J58" s="18" t="str">
        <f>'(FnCalls 1)'!G12</f>
        <v>Q2 2012</v>
      </c>
      <c r="K58" s="18" t="str">
        <f>'(FnCalls 1)'!G13</f>
        <v>Q3 2012</v>
      </c>
      <c r="L58" s="18" t="str">
        <f>'(FnCalls 1)'!G14</f>
        <v>Q4 2012</v>
      </c>
      <c r="M58" s="62" t="str">
        <f>'(FnCalls 1)'!H11</f>
        <v>2012</v>
      </c>
    </row>
    <row r="59" spans="1:13" ht="12.75" hidden="1" customHeight="1" outlineLevel="2" x14ac:dyDescent="0.2">
      <c r="A59" s="111" t="str">
        <f>Labels!B17</f>
        <v xml:space="preserve">Cash Flow - Fixed Investment </v>
      </c>
      <c r="B59" s="110"/>
      <c r="C59" s="75"/>
      <c r="D59" s="110"/>
      <c r="E59" s="110"/>
      <c r="F59" s="110"/>
      <c r="G59" s="110"/>
      <c r="H59" s="75"/>
      <c r="I59" s="110"/>
      <c r="J59" s="110"/>
      <c r="K59" s="110"/>
      <c r="L59" s="110"/>
      <c r="M59" s="75"/>
    </row>
    <row r="60" spans="1:13" ht="12.75" hidden="1" customHeight="1" outlineLevel="2" x14ac:dyDescent="0.2">
      <c r="A60" s="114" t="str">
        <f>"   "&amp;Labels!B182</f>
        <v xml:space="preserve">   Catamarans</v>
      </c>
      <c r="B60" s="113"/>
      <c r="C60" s="69"/>
      <c r="D60" s="113"/>
      <c r="E60" s="113"/>
      <c r="F60" s="113"/>
      <c r="G60" s="113"/>
      <c r="H60" s="69"/>
      <c r="I60" s="113"/>
      <c r="J60" s="113"/>
      <c r="K60" s="113"/>
      <c r="L60" s="113"/>
      <c r="M60" s="69"/>
    </row>
    <row r="61" spans="1:13" ht="12.75" hidden="1" customHeight="1" outlineLevel="2" x14ac:dyDescent="0.2">
      <c r="A61" s="144" t="str">
        <f>"      "&amp;Labels!B166</f>
        <v xml:space="preserve">      Depreciable</v>
      </c>
      <c r="B61" s="159"/>
      <c r="C61" s="69"/>
      <c r="D61" s="159"/>
      <c r="E61" s="159"/>
      <c r="F61" s="159"/>
      <c r="G61" s="159"/>
      <c r="H61" s="69"/>
      <c r="I61" s="159"/>
      <c r="J61" s="159"/>
      <c r="K61" s="159"/>
      <c r="L61" s="159"/>
      <c r="M61" s="69"/>
    </row>
    <row r="62" spans="1:13" ht="12.75" hidden="1" customHeight="1" outlineLevel="2" x14ac:dyDescent="0.2">
      <c r="A62" s="144" t="str">
        <f>"         "&amp;Labels!B170</f>
        <v xml:space="preserve">         Invest 1</v>
      </c>
      <c r="B62" s="116">
        <f>IF(AND('(Tables)'!B36=1,0=0),(-Inputs!E24),0)+IF('(Tables)'!B36='(Tables)'!B49,Inputs!F24,0)</f>
        <v>0</v>
      </c>
      <c r="C62" s="69">
        <f>B62</f>
        <v>0</v>
      </c>
      <c r="D62" s="116">
        <f>IF(AND('(Tables)'!D36=1,'(Tables)'!B36=0),(-Inputs!E24),0)+IF('(Tables)'!D36='(Tables)'!B49,Inputs!F24,0)</f>
        <v>0</v>
      </c>
      <c r="E62" s="116">
        <f>IF(AND('(Tables)'!E36=1,'(Tables)'!D36=0),(-Inputs!E24),0)+IF('(Tables)'!E36='(Tables)'!B49,Inputs!F24,0)</f>
        <v>0</v>
      </c>
      <c r="F62" s="116">
        <f>IF(AND('(Tables)'!F36=1,'(Tables)'!E36=0),(-Inputs!E24),0)+IF('(Tables)'!F36='(Tables)'!B49,Inputs!F24,0)</f>
        <v>0</v>
      </c>
      <c r="G62" s="116">
        <f>IF(AND('(Tables)'!G36=1,'(Tables)'!F36=0),(-Inputs!E24),0)+IF('(Tables)'!G36='(Tables)'!B49,Inputs!F24,0)</f>
        <v>0</v>
      </c>
      <c r="H62" s="69">
        <f>SUM(D62:G62)</f>
        <v>0</v>
      </c>
      <c r="I62" s="116">
        <f>IF(AND('(Tables)'!I36=1,'(Tables)'!G36=0),(-Inputs!E24),0)+IF('(Tables)'!I36='(Tables)'!B49,Inputs!F24,0)</f>
        <v>0</v>
      </c>
      <c r="J62" s="116">
        <f>IF(AND('(Tables)'!J36=1,'(Tables)'!I36=0),(-Inputs!E24),0)+IF('(Tables)'!J36='(Tables)'!B49,Inputs!F24,0)</f>
        <v>0</v>
      </c>
      <c r="K62" s="116">
        <f>IF(AND('(Tables)'!K36=1,'(Tables)'!J36=0),(-Inputs!E24),0)+IF('(Tables)'!K36='(Tables)'!B49,Inputs!F24,0)</f>
        <v>0</v>
      </c>
      <c r="L62" s="116">
        <f>IF(AND('(Tables)'!L36=1,'(Tables)'!K36=0),(-Inputs!E24),0)+IF('(Tables)'!L36='(Tables)'!B49,Inputs!F24,0)</f>
        <v>0</v>
      </c>
      <c r="M62" s="69">
        <f>SUM(I62:L62)</f>
        <v>0</v>
      </c>
    </row>
    <row r="63" spans="1:13" ht="12.75" hidden="1" customHeight="1" outlineLevel="2" x14ac:dyDescent="0.2">
      <c r="A63" s="144" t="str">
        <f>"         "&amp;Labels!B171</f>
        <v xml:space="preserve">         Invest 2</v>
      </c>
      <c r="B63" s="116">
        <f>IF(AND('(Tables)'!B37=1,0=0),(-Inputs!E25),0)+IF('(Tables)'!B37='(Tables)'!B50,Inputs!F25,0)</f>
        <v>0</v>
      </c>
      <c r="C63" s="69">
        <f>B63</f>
        <v>0</v>
      </c>
      <c r="D63" s="116">
        <f>IF(AND('(Tables)'!D37=1,'(Tables)'!B37=0),(-Inputs!E25),0)+IF('(Tables)'!D37='(Tables)'!B50,Inputs!F25,0)</f>
        <v>0</v>
      </c>
      <c r="E63" s="116">
        <f>IF(AND('(Tables)'!E37=1,'(Tables)'!D37=0),(-Inputs!E25),0)+IF('(Tables)'!E37='(Tables)'!B50,Inputs!F25,0)</f>
        <v>0</v>
      </c>
      <c r="F63" s="116">
        <f>IF(AND('(Tables)'!F37=1,'(Tables)'!E37=0),(-Inputs!E25),0)+IF('(Tables)'!F37='(Tables)'!B50,Inputs!F25,0)</f>
        <v>0</v>
      </c>
      <c r="G63" s="116">
        <f>IF(AND('(Tables)'!G37=1,'(Tables)'!F37=0),(-Inputs!E25),0)+IF('(Tables)'!G37='(Tables)'!B50,Inputs!F25,0)</f>
        <v>0</v>
      </c>
      <c r="H63" s="69">
        <f>SUM(D63:G63)</f>
        <v>0</v>
      </c>
      <c r="I63" s="116">
        <f>IF(AND('(Tables)'!I37=1,'(Tables)'!G37=0),(-Inputs!E25),0)+IF('(Tables)'!I37='(Tables)'!B50,Inputs!F25,0)</f>
        <v>0</v>
      </c>
      <c r="J63" s="116">
        <f>IF(AND('(Tables)'!J37=1,'(Tables)'!I37=0),(-Inputs!E25),0)+IF('(Tables)'!J37='(Tables)'!B50,Inputs!F25,0)</f>
        <v>0</v>
      </c>
      <c r="K63" s="116">
        <f>IF(AND('(Tables)'!K37=1,'(Tables)'!J37=0),(-Inputs!E25),0)+IF('(Tables)'!K37='(Tables)'!B50,Inputs!F25,0)</f>
        <v>0</v>
      </c>
      <c r="L63" s="116">
        <f>IF(AND('(Tables)'!L37=1,'(Tables)'!K37=0),(-Inputs!E25),0)+IF('(Tables)'!L37='(Tables)'!B50,Inputs!F25,0)</f>
        <v>0</v>
      </c>
      <c r="M63" s="69">
        <f>SUM(I63:L63)</f>
        <v>0</v>
      </c>
    </row>
    <row r="64" spans="1:13" ht="12.75" hidden="1" customHeight="1" outlineLevel="2" x14ac:dyDescent="0.2">
      <c r="A64" s="144" t="str">
        <f>"         "&amp;Labels!C169</f>
        <v xml:space="preserve">         Total</v>
      </c>
      <c r="B64" s="159">
        <f>SUM(B62:B63)</f>
        <v>0</v>
      </c>
      <c r="C64" s="69">
        <f>SUM(B62:B63)</f>
        <v>0</v>
      </c>
      <c r="D64" s="159">
        <f>SUM(D62:D63)</f>
        <v>0</v>
      </c>
      <c r="E64" s="159">
        <f>SUM(E62:E63)</f>
        <v>0</v>
      </c>
      <c r="F64" s="159">
        <f>SUM(F62:F63)</f>
        <v>0</v>
      </c>
      <c r="G64" s="159">
        <f>SUM(G62:G63)</f>
        <v>0</v>
      </c>
      <c r="H64" s="69">
        <f>SUM(D64:G64)</f>
        <v>0</v>
      </c>
      <c r="I64" s="159">
        <f>SUM(I62:I63)</f>
        <v>0</v>
      </c>
      <c r="J64" s="159">
        <f>SUM(J62:J63)</f>
        <v>0</v>
      </c>
      <c r="K64" s="159">
        <f>SUM(K62:K63)</f>
        <v>0</v>
      </c>
      <c r="L64" s="159">
        <f>SUM(L62:L63)</f>
        <v>0</v>
      </c>
      <c r="M64" s="69">
        <f>SUM(I64:L64)</f>
        <v>0</v>
      </c>
    </row>
    <row r="65" spans="1:13" ht="12.75" hidden="1" customHeight="1" outlineLevel="2" x14ac:dyDescent="0.2">
      <c r="A65" s="144" t="str">
        <f>"      "&amp;Labels!B167</f>
        <v xml:space="preserve">      Non-Deprec</v>
      </c>
      <c r="B65" s="159"/>
      <c r="C65" s="69"/>
      <c r="D65" s="159"/>
      <c r="E65" s="159"/>
      <c r="F65" s="159"/>
      <c r="G65" s="159"/>
      <c r="H65" s="69"/>
      <c r="I65" s="159"/>
      <c r="J65" s="159"/>
      <c r="K65" s="159"/>
      <c r="L65" s="159"/>
      <c r="M65" s="69"/>
    </row>
    <row r="66" spans="1:13" ht="12.75" hidden="1" customHeight="1" outlineLevel="2" x14ac:dyDescent="0.2">
      <c r="A66" s="144" t="str">
        <f>"         "&amp;Labels!B170</f>
        <v xml:space="preserve">         Invest 1</v>
      </c>
      <c r="B66" s="116">
        <f>IF(AND('(Tables)'!B36=1,0=0),(-Inputs!E28),0)+IF('(Tables)'!B36='(Tables)'!B49,Inputs!F28,0)</f>
        <v>0</v>
      </c>
      <c r="C66" s="69">
        <f>B66</f>
        <v>0</v>
      </c>
      <c r="D66" s="116">
        <f>IF(AND('(Tables)'!D36=1,'(Tables)'!B36=0),(-Inputs!E28),0)+IF('(Tables)'!D36='(Tables)'!B49,Inputs!F28,0)</f>
        <v>0</v>
      </c>
      <c r="E66" s="116">
        <f>IF(AND('(Tables)'!E36=1,'(Tables)'!D36=0),(-Inputs!E28),0)+IF('(Tables)'!E36='(Tables)'!B49,Inputs!F28,0)</f>
        <v>0</v>
      </c>
      <c r="F66" s="116">
        <f>IF(AND('(Tables)'!F36=1,'(Tables)'!E36=0),(-Inputs!E28),0)+IF('(Tables)'!F36='(Tables)'!B49,Inputs!F28,0)</f>
        <v>0</v>
      </c>
      <c r="G66" s="116">
        <f>IF(AND('(Tables)'!G36=1,'(Tables)'!F36=0),(-Inputs!E28),0)+IF('(Tables)'!G36='(Tables)'!B49,Inputs!F28,0)</f>
        <v>0</v>
      </c>
      <c r="H66" s="69">
        <f t="shared" ref="H66:H71" si="16">SUM(D66:G66)</f>
        <v>0</v>
      </c>
      <c r="I66" s="116">
        <f>IF(AND('(Tables)'!I36=1,'(Tables)'!G36=0),(-Inputs!E28),0)+IF('(Tables)'!I36='(Tables)'!B49,Inputs!F28,0)</f>
        <v>0</v>
      </c>
      <c r="J66" s="116">
        <f>IF(AND('(Tables)'!J36=1,'(Tables)'!I36=0),(-Inputs!E28),0)+IF('(Tables)'!J36='(Tables)'!B49,Inputs!F28,0)</f>
        <v>0</v>
      </c>
      <c r="K66" s="116">
        <f>IF(AND('(Tables)'!K36=1,'(Tables)'!J36=0),(-Inputs!E28),0)+IF('(Tables)'!K36='(Tables)'!B49,Inputs!F28,0)</f>
        <v>0</v>
      </c>
      <c r="L66" s="116">
        <f>IF(AND('(Tables)'!L36=1,'(Tables)'!K36=0),(-Inputs!E28),0)+IF('(Tables)'!L36='(Tables)'!B49,Inputs!F28,0)</f>
        <v>0</v>
      </c>
      <c r="M66" s="69">
        <f t="shared" ref="M66:M71" si="17">SUM(I66:L66)</f>
        <v>0</v>
      </c>
    </row>
    <row r="67" spans="1:13" ht="12.75" hidden="1" customHeight="1" outlineLevel="2" x14ac:dyDescent="0.2">
      <c r="A67" s="144" t="str">
        <f>"         "&amp;Labels!B171</f>
        <v xml:space="preserve">         Invest 2</v>
      </c>
      <c r="B67" s="116">
        <f>IF(AND('(Tables)'!B37=1,0=0),(-Inputs!E29),0)+IF('(Tables)'!B37='(Tables)'!B50,Inputs!F29,0)</f>
        <v>0</v>
      </c>
      <c r="C67" s="69">
        <f>B67</f>
        <v>0</v>
      </c>
      <c r="D67" s="116">
        <f>IF(AND('(Tables)'!D37=1,'(Tables)'!B37=0),(-Inputs!E29),0)+IF('(Tables)'!D37='(Tables)'!B50,Inputs!F29,0)</f>
        <v>0</v>
      </c>
      <c r="E67" s="116">
        <f>IF(AND('(Tables)'!E37=1,'(Tables)'!D37=0),(-Inputs!E29),0)+IF('(Tables)'!E37='(Tables)'!B50,Inputs!F29,0)</f>
        <v>0</v>
      </c>
      <c r="F67" s="116">
        <f>IF(AND('(Tables)'!F37=1,'(Tables)'!E37=0),(-Inputs!E29),0)+IF('(Tables)'!F37='(Tables)'!B50,Inputs!F29,0)</f>
        <v>0</v>
      </c>
      <c r="G67" s="116">
        <f>IF(AND('(Tables)'!G37=1,'(Tables)'!F37=0),(-Inputs!E29),0)+IF('(Tables)'!G37='(Tables)'!B50,Inputs!F29,0)</f>
        <v>0</v>
      </c>
      <c r="H67" s="69">
        <f t="shared" si="16"/>
        <v>0</v>
      </c>
      <c r="I67" s="116">
        <f>IF(AND('(Tables)'!I37=1,'(Tables)'!G37=0),(-Inputs!E29),0)+IF('(Tables)'!I37='(Tables)'!B50,Inputs!F29,0)</f>
        <v>0</v>
      </c>
      <c r="J67" s="116">
        <f>IF(AND('(Tables)'!J37=1,'(Tables)'!I37=0),(-Inputs!E29),0)+IF('(Tables)'!J37='(Tables)'!B50,Inputs!F29,0)</f>
        <v>0</v>
      </c>
      <c r="K67" s="116">
        <f>IF(AND('(Tables)'!K37=1,'(Tables)'!J37=0),(-Inputs!E29),0)+IF('(Tables)'!K37='(Tables)'!B50,Inputs!F29,0)</f>
        <v>0</v>
      </c>
      <c r="L67" s="116">
        <f>IF(AND('(Tables)'!L37=1,'(Tables)'!K37=0),(-Inputs!E29),0)+IF('(Tables)'!L37='(Tables)'!B50,Inputs!F29,0)</f>
        <v>0</v>
      </c>
      <c r="M67" s="69">
        <f t="shared" si="17"/>
        <v>0</v>
      </c>
    </row>
    <row r="68" spans="1:13" ht="12.75" hidden="1" customHeight="1" outlineLevel="2" x14ac:dyDescent="0.2">
      <c r="A68" s="144" t="str">
        <f>"         "&amp;Labels!C169</f>
        <v xml:space="preserve">         Total</v>
      </c>
      <c r="B68" s="159">
        <f>SUM(B66:B67)</f>
        <v>0</v>
      </c>
      <c r="C68" s="69">
        <f>SUM(B66:B67)</f>
        <v>0</v>
      </c>
      <c r="D68" s="159">
        <f>SUM(D66:D67)</f>
        <v>0</v>
      </c>
      <c r="E68" s="159">
        <f>SUM(E66:E67)</f>
        <v>0</v>
      </c>
      <c r="F68" s="159">
        <f>SUM(F66:F67)</f>
        <v>0</v>
      </c>
      <c r="G68" s="159">
        <f>SUM(G66:G67)</f>
        <v>0</v>
      </c>
      <c r="H68" s="69">
        <f t="shared" si="16"/>
        <v>0</v>
      </c>
      <c r="I68" s="159">
        <f>SUM(I66:I67)</f>
        <v>0</v>
      </c>
      <c r="J68" s="159">
        <f>SUM(J66:J67)</f>
        <v>0</v>
      </c>
      <c r="K68" s="159">
        <f>SUM(K66:K67)</f>
        <v>0</v>
      </c>
      <c r="L68" s="159">
        <f>SUM(L66:L67)</f>
        <v>0</v>
      </c>
      <c r="M68" s="69">
        <f t="shared" si="17"/>
        <v>0</v>
      </c>
    </row>
    <row r="69" spans="1:13" ht="12.75" hidden="1" customHeight="1" outlineLevel="2" x14ac:dyDescent="0.2">
      <c r="A69" s="114" t="str">
        <f>"      "&amp;Labels!C165</f>
        <v xml:space="preserve">      Total</v>
      </c>
      <c r="B69" s="113">
        <f>SUM(B64,B68)</f>
        <v>0</v>
      </c>
      <c r="C69" s="69">
        <f>SUM(B64,B68)</f>
        <v>0</v>
      </c>
      <c r="D69" s="113">
        <f>SUM(D70:D71)</f>
        <v>0</v>
      </c>
      <c r="E69" s="113">
        <f>SUM(E70:E71)</f>
        <v>0</v>
      </c>
      <c r="F69" s="113">
        <f>SUM(F70:F71)</f>
        <v>0</v>
      </c>
      <c r="G69" s="113">
        <f>SUM(G70:G71)</f>
        <v>0</v>
      </c>
      <c r="H69" s="69">
        <f t="shared" si="16"/>
        <v>0</v>
      </c>
      <c r="I69" s="113">
        <f>SUM(I70:I71)</f>
        <v>0</v>
      </c>
      <c r="J69" s="113">
        <f>SUM(J70:J71)</f>
        <v>0</v>
      </c>
      <c r="K69" s="113">
        <f>SUM(K70:K71)</f>
        <v>0</v>
      </c>
      <c r="L69" s="113">
        <f>SUM(L70:L71)</f>
        <v>0</v>
      </c>
      <c r="M69" s="69">
        <f t="shared" si="17"/>
        <v>0</v>
      </c>
    </row>
    <row r="70" spans="1:13" ht="12.75" hidden="1" customHeight="1" outlineLevel="2" x14ac:dyDescent="0.2">
      <c r="A70" s="144" t="str">
        <f>"         "&amp;Labels!B170</f>
        <v xml:space="preserve">         Invest 1</v>
      </c>
      <c r="B70" s="116">
        <f>SUM(B62,B66)</f>
        <v>0</v>
      </c>
      <c r="C70" s="69">
        <f>SUM(B62,B66)</f>
        <v>0</v>
      </c>
      <c r="D70" s="116">
        <f t="shared" ref="D70:G72" si="18">SUM(D62,D66)</f>
        <v>0</v>
      </c>
      <c r="E70" s="116">
        <f t="shared" si="18"/>
        <v>0</v>
      </c>
      <c r="F70" s="116">
        <f t="shared" si="18"/>
        <v>0</v>
      </c>
      <c r="G70" s="116">
        <f t="shared" si="18"/>
        <v>0</v>
      </c>
      <c r="H70" s="69">
        <f t="shared" si="16"/>
        <v>0</v>
      </c>
      <c r="I70" s="116">
        <f t="shared" ref="I70:L72" si="19">SUM(I62,I66)</f>
        <v>0</v>
      </c>
      <c r="J70" s="116">
        <f t="shared" si="19"/>
        <v>0</v>
      </c>
      <c r="K70" s="116">
        <f t="shared" si="19"/>
        <v>0</v>
      </c>
      <c r="L70" s="116">
        <f t="shared" si="19"/>
        <v>0</v>
      </c>
      <c r="M70" s="69">
        <f t="shared" si="17"/>
        <v>0</v>
      </c>
    </row>
    <row r="71" spans="1:13" ht="12.75" hidden="1" customHeight="1" outlineLevel="2" x14ac:dyDescent="0.2">
      <c r="A71" s="144" t="str">
        <f>"         "&amp;Labels!B171</f>
        <v xml:space="preserve">         Invest 2</v>
      </c>
      <c r="B71" s="116">
        <f>SUM(B63,B67)</f>
        <v>0</v>
      </c>
      <c r="C71" s="69">
        <f>SUM(B63,B67)</f>
        <v>0</v>
      </c>
      <c r="D71" s="116">
        <f t="shared" si="18"/>
        <v>0</v>
      </c>
      <c r="E71" s="116">
        <f t="shared" si="18"/>
        <v>0</v>
      </c>
      <c r="F71" s="116">
        <f t="shared" si="18"/>
        <v>0</v>
      </c>
      <c r="G71" s="116">
        <f t="shared" si="18"/>
        <v>0</v>
      </c>
      <c r="H71" s="69">
        <f t="shared" si="16"/>
        <v>0</v>
      </c>
      <c r="I71" s="116">
        <f t="shared" si="19"/>
        <v>0</v>
      </c>
      <c r="J71" s="116">
        <f t="shared" si="19"/>
        <v>0</v>
      </c>
      <c r="K71" s="116">
        <f t="shared" si="19"/>
        <v>0</v>
      </c>
      <c r="L71" s="116">
        <f t="shared" si="19"/>
        <v>0</v>
      </c>
      <c r="M71" s="69">
        <f t="shared" si="17"/>
        <v>0</v>
      </c>
    </row>
    <row r="72" spans="1:13" ht="12.75" hidden="1" customHeight="1" outlineLevel="2" x14ac:dyDescent="0.2">
      <c r="A72" s="144" t="str">
        <f>"         "&amp;Labels!C169</f>
        <v xml:space="preserve">         Total</v>
      </c>
      <c r="B72" s="159">
        <f>SUM(B64,B68)</f>
        <v>0</v>
      </c>
      <c r="C72" s="69">
        <f>SUM(B64,B68)</f>
        <v>0</v>
      </c>
      <c r="D72" s="159">
        <f t="shared" si="18"/>
        <v>0</v>
      </c>
      <c r="E72" s="159">
        <f t="shared" si="18"/>
        <v>0</v>
      </c>
      <c r="F72" s="159">
        <f t="shared" si="18"/>
        <v>0</v>
      </c>
      <c r="G72" s="159">
        <f t="shared" si="18"/>
        <v>0</v>
      </c>
      <c r="H72" s="69">
        <f>SUM(D69:G69)</f>
        <v>0</v>
      </c>
      <c r="I72" s="159">
        <f t="shared" si="19"/>
        <v>0</v>
      </c>
      <c r="J72" s="159">
        <f t="shared" si="19"/>
        <v>0</v>
      </c>
      <c r="K72" s="159">
        <f t="shared" si="19"/>
        <v>0</v>
      </c>
      <c r="L72" s="159">
        <f t="shared" si="19"/>
        <v>0</v>
      </c>
      <c r="M72" s="69">
        <f>SUM(I69:L69)</f>
        <v>0</v>
      </c>
    </row>
    <row r="73" spans="1:13" ht="12.75" hidden="1" customHeight="1" outlineLevel="2" x14ac:dyDescent="0.2">
      <c r="A73" s="114" t="str">
        <f>"   "&amp;Labels!B183</f>
        <v xml:space="preserve">   Canoes</v>
      </c>
      <c r="B73" s="113"/>
      <c r="C73" s="69"/>
      <c r="D73" s="113"/>
      <c r="E73" s="113"/>
      <c r="F73" s="113"/>
      <c r="G73" s="113"/>
      <c r="H73" s="69"/>
      <c r="I73" s="113"/>
      <c r="J73" s="113"/>
      <c r="K73" s="113"/>
      <c r="L73" s="113"/>
      <c r="M73" s="69"/>
    </row>
    <row r="74" spans="1:13" ht="12.75" hidden="1" customHeight="1" outlineLevel="2" x14ac:dyDescent="0.2">
      <c r="A74" s="144" t="str">
        <f>"      "&amp;Labels!B166</f>
        <v xml:space="preserve">      Depreciable</v>
      </c>
      <c r="B74" s="159"/>
      <c r="C74" s="69"/>
      <c r="D74" s="159"/>
      <c r="E74" s="159"/>
      <c r="F74" s="159"/>
      <c r="G74" s="159"/>
      <c r="H74" s="69"/>
      <c r="I74" s="159"/>
      <c r="J74" s="159"/>
      <c r="K74" s="159"/>
      <c r="L74" s="159"/>
      <c r="M74" s="69"/>
    </row>
    <row r="75" spans="1:13" ht="12.75" hidden="1" customHeight="1" outlineLevel="2" x14ac:dyDescent="0.2">
      <c r="A75" s="144" t="str">
        <f>"         "&amp;Labels!B170</f>
        <v xml:space="preserve">         Invest 1</v>
      </c>
      <c r="B75" s="116">
        <f>IF(AND('(Tables)'!B40=1,0=0),(-Inputs!E26),0)+IF('(Tables)'!B40='(Tables)'!C49,Inputs!F26,0)</f>
        <v>0</v>
      </c>
      <c r="C75" s="69">
        <f>B75</f>
        <v>0</v>
      </c>
      <c r="D75" s="116">
        <f>IF(AND('(Tables)'!D40=1,'(Tables)'!B40=0),(-Inputs!E26),0)+IF('(Tables)'!D40='(Tables)'!C49,Inputs!F26,0)</f>
        <v>0</v>
      </c>
      <c r="E75" s="116">
        <f>IF(AND('(Tables)'!E40=1,'(Tables)'!D40=0),(-Inputs!E26),0)+IF('(Tables)'!E40='(Tables)'!C49,Inputs!F26,0)</f>
        <v>0</v>
      </c>
      <c r="F75" s="116">
        <f>IF(AND('(Tables)'!F40=1,'(Tables)'!E40=0),(-Inputs!E26),0)+IF('(Tables)'!F40='(Tables)'!C49,Inputs!F26,0)</f>
        <v>0</v>
      </c>
      <c r="G75" s="116">
        <f>IF(AND('(Tables)'!G40=1,'(Tables)'!F40=0),(-Inputs!E26),0)+IF('(Tables)'!G40='(Tables)'!C49,Inputs!F26,0)</f>
        <v>0</v>
      </c>
      <c r="H75" s="69">
        <f>SUM(D75:G75)</f>
        <v>0</v>
      </c>
      <c r="I75" s="116">
        <f>IF(AND('(Tables)'!I40=1,'(Tables)'!G40=0),(-Inputs!E26),0)+IF('(Tables)'!I40='(Tables)'!C49,Inputs!F26,0)</f>
        <v>0</v>
      </c>
      <c r="J75" s="116">
        <f>IF(AND('(Tables)'!J40=1,'(Tables)'!I40=0),(-Inputs!E26),0)+IF('(Tables)'!J40='(Tables)'!C49,Inputs!F26,0)</f>
        <v>0</v>
      </c>
      <c r="K75" s="116">
        <f>IF(AND('(Tables)'!K40=1,'(Tables)'!J40=0),(-Inputs!E26),0)+IF('(Tables)'!K40='(Tables)'!C49,Inputs!F26,0)</f>
        <v>0</v>
      </c>
      <c r="L75" s="116">
        <f>IF(AND('(Tables)'!L40=1,'(Tables)'!K40=0),(-Inputs!E26),0)+IF('(Tables)'!L40='(Tables)'!C49,Inputs!F26,0)</f>
        <v>0</v>
      </c>
      <c r="M75" s="69">
        <f>SUM(I75:L75)</f>
        <v>0</v>
      </c>
    </row>
    <row r="76" spans="1:13" ht="12.75" hidden="1" customHeight="1" outlineLevel="2" x14ac:dyDescent="0.2">
      <c r="A76" s="144" t="str">
        <f>"         "&amp;Labels!B171</f>
        <v xml:space="preserve">         Invest 2</v>
      </c>
      <c r="B76" s="116">
        <f>IF(AND('(Tables)'!B41=1,0=0),(-Inputs!E27),0)+IF('(Tables)'!B41='(Tables)'!C50,Inputs!F27,0)</f>
        <v>0</v>
      </c>
      <c r="C76" s="69">
        <f>B76</f>
        <v>0</v>
      </c>
      <c r="D76" s="116">
        <f>IF(AND('(Tables)'!D41=1,'(Tables)'!B41=0),(-Inputs!E27),0)+IF('(Tables)'!D41='(Tables)'!C50,Inputs!F27,0)</f>
        <v>0</v>
      </c>
      <c r="E76" s="116">
        <f>IF(AND('(Tables)'!E41=1,'(Tables)'!D41=0),(-Inputs!E27),0)+IF('(Tables)'!E41='(Tables)'!C50,Inputs!F27,0)</f>
        <v>0</v>
      </c>
      <c r="F76" s="116">
        <f>IF(AND('(Tables)'!F41=1,'(Tables)'!E41=0),(-Inputs!E27),0)+IF('(Tables)'!F41='(Tables)'!C50,Inputs!F27,0)</f>
        <v>0</v>
      </c>
      <c r="G76" s="116">
        <f>IF(AND('(Tables)'!G41=1,'(Tables)'!F41=0),(-Inputs!E27),0)+IF('(Tables)'!G41='(Tables)'!C50,Inputs!F27,0)</f>
        <v>0</v>
      </c>
      <c r="H76" s="69">
        <f>SUM(D76:G76)</f>
        <v>0</v>
      </c>
      <c r="I76" s="116">
        <f>IF(AND('(Tables)'!I41=1,'(Tables)'!G41=0),(-Inputs!E27),0)+IF('(Tables)'!I41='(Tables)'!C50,Inputs!F27,0)</f>
        <v>0</v>
      </c>
      <c r="J76" s="116">
        <f>IF(AND('(Tables)'!J41=1,'(Tables)'!I41=0),(-Inputs!E27),0)+IF('(Tables)'!J41='(Tables)'!C50,Inputs!F27,0)</f>
        <v>0</v>
      </c>
      <c r="K76" s="116">
        <f>IF(AND('(Tables)'!K41=1,'(Tables)'!J41=0),(-Inputs!E27),0)+IF('(Tables)'!K41='(Tables)'!C50,Inputs!F27,0)</f>
        <v>0</v>
      </c>
      <c r="L76" s="116">
        <f>IF(AND('(Tables)'!L41=1,'(Tables)'!K41=0),(-Inputs!E27),0)+IF('(Tables)'!L41='(Tables)'!C50,Inputs!F27,0)</f>
        <v>0</v>
      </c>
      <c r="M76" s="69">
        <f>SUM(I76:L76)</f>
        <v>0</v>
      </c>
    </row>
    <row r="77" spans="1:13" ht="12.75" hidden="1" customHeight="1" outlineLevel="2" x14ac:dyDescent="0.2">
      <c r="A77" s="144" t="str">
        <f>"         "&amp;Labels!C169</f>
        <v xml:space="preserve">         Total</v>
      </c>
      <c r="B77" s="159">
        <f>SUM(B75:B76)</f>
        <v>0</v>
      </c>
      <c r="C77" s="69">
        <f>SUM(B75:B76)</f>
        <v>0</v>
      </c>
      <c r="D77" s="159">
        <f>SUM(D75:D76)</f>
        <v>0</v>
      </c>
      <c r="E77" s="159">
        <f>SUM(E75:E76)</f>
        <v>0</v>
      </c>
      <c r="F77" s="159">
        <f>SUM(F75:F76)</f>
        <v>0</v>
      </c>
      <c r="G77" s="159">
        <f>SUM(G75:G76)</f>
        <v>0</v>
      </c>
      <c r="H77" s="69">
        <f>SUM(D77:G77)</f>
        <v>0</v>
      </c>
      <c r="I77" s="159">
        <f>SUM(I75:I76)</f>
        <v>0</v>
      </c>
      <c r="J77" s="159">
        <f>SUM(J75:J76)</f>
        <v>0</v>
      </c>
      <c r="K77" s="159">
        <f>SUM(K75:K76)</f>
        <v>0</v>
      </c>
      <c r="L77" s="159">
        <f>SUM(L75:L76)</f>
        <v>0</v>
      </c>
      <c r="M77" s="69">
        <f>SUM(I77:L77)</f>
        <v>0</v>
      </c>
    </row>
    <row r="78" spans="1:13" ht="12.75" hidden="1" customHeight="1" outlineLevel="2" x14ac:dyDescent="0.2">
      <c r="A78" s="144" t="str">
        <f>"      "&amp;Labels!B167</f>
        <v xml:space="preserve">      Non-Deprec</v>
      </c>
      <c r="B78" s="159"/>
      <c r="C78" s="69"/>
      <c r="D78" s="159"/>
      <c r="E78" s="159"/>
      <c r="F78" s="159"/>
      <c r="G78" s="159"/>
      <c r="H78" s="69"/>
      <c r="I78" s="159"/>
      <c r="J78" s="159"/>
      <c r="K78" s="159"/>
      <c r="L78" s="159"/>
      <c r="M78" s="69"/>
    </row>
    <row r="79" spans="1:13" ht="12.75" hidden="1" customHeight="1" outlineLevel="2" x14ac:dyDescent="0.2">
      <c r="A79" s="144" t="str">
        <f>"         "&amp;Labels!B170</f>
        <v xml:space="preserve">         Invest 1</v>
      </c>
      <c r="B79" s="116">
        <f>IF(AND('(Tables)'!B40=1,0=0),(-Inputs!E30),0)+IF('(Tables)'!B40='(Tables)'!C49,Inputs!F30,0)</f>
        <v>0</v>
      </c>
      <c r="C79" s="69">
        <f>B79</f>
        <v>0</v>
      </c>
      <c r="D79" s="116">
        <f>IF(AND('(Tables)'!D40=1,'(Tables)'!B40=0),(-Inputs!E30),0)+IF('(Tables)'!D40='(Tables)'!C49,Inputs!F30,0)</f>
        <v>0</v>
      </c>
      <c r="E79" s="116">
        <f>IF(AND('(Tables)'!E40=1,'(Tables)'!D40=0),(-Inputs!E30),0)+IF('(Tables)'!E40='(Tables)'!C49,Inputs!F30,0)</f>
        <v>0</v>
      </c>
      <c r="F79" s="116">
        <f>IF(AND('(Tables)'!F40=1,'(Tables)'!E40=0),(-Inputs!E30),0)+IF('(Tables)'!F40='(Tables)'!C49,Inputs!F30,0)</f>
        <v>0</v>
      </c>
      <c r="G79" s="116">
        <f>IF(AND('(Tables)'!G40=1,'(Tables)'!F40=0),(-Inputs!E30),0)+IF('(Tables)'!G40='(Tables)'!C49,Inputs!F30,0)</f>
        <v>0</v>
      </c>
      <c r="H79" s="69">
        <f t="shared" ref="H79:H84" si="20">SUM(D79:G79)</f>
        <v>0</v>
      </c>
      <c r="I79" s="116">
        <f>IF(AND('(Tables)'!I40=1,'(Tables)'!G40=0),(-Inputs!E30),0)+IF('(Tables)'!I40='(Tables)'!C49,Inputs!F30,0)</f>
        <v>0</v>
      </c>
      <c r="J79" s="116">
        <f>IF(AND('(Tables)'!J40=1,'(Tables)'!I40=0),(-Inputs!E30),0)+IF('(Tables)'!J40='(Tables)'!C49,Inputs!F30,0)</f>
        <v>0</v>
      </c>
      <c r="K79" s="116">
        <f>IF(AND('(Tables)'!K40=1,'(Tables)'!J40=0),(-Inputs!E30),0)+IF('(Tables)'!K40='(Tables)'!C49,Inputs!F30,0)</f>
        <v>0</v>
      </c>
      <c r="L79" s="116">
        <f>IF(AND('(Tables)'!L40=1,'(Tables)'!K40=0),(-Inputs!E30),0)+IF('(Tables)'!L40='(Tables)'!C49,Inputs!F30,0)</f>
        <v>0</v>
      </c>
      <c r="M79" s="69">
        <f t="shared" ref="M79:M84" si="21">SUM(I79:L79)</f>
        <v>0</v>
      </c>
    </row>
    <row r="80" spans="1:13" ht="12.75" hidden="1" customHeight="1" outlineLevel="2" x14ac:dyDescent="0.2">
      <c r="A80" s="144" t="str">
        <f>"         "&amp;Labels!B171</f>
        <v xml:space="preserve">         Invest 2</v>
      </c>
      <c r="B80" s="116">
        <f>IF(AND('(Tables)'!B41=1,0=0),(-Inputs!E31),0)+IF('(Tables)'!B41='(Tables)'!C50,Inputs!F31,0)</f>
        <v>0</v>
      </c>
      <c r="C80" s="69">
        <f>B80</f>
        <v>0</v>
      </c>
      <c r="D80" s="116">
        <f>IF(AND('(Tables)'!D41=1,'(Tables)'!B41=0),(-Inputs!E31),0)+IF('(Tables)'!D41='(Tables)'!C50,Inputs!F31,0)</f>
        <v>0</v>
      </c>
      <c r="E80" s="116">
        <f>IF(AND('(Tables)'!E41=1,'(Tables)'!D41=0),(-Inputs!E31),0)+IF('(Tables)'!E41='(Tables)'!C50,Inputs!F31,0)</f>
        <v>0</v>
      </c>
      <c r="F80" s="116">
        <f>IF(AND('(Tables)'!F41=1,'(Tables)'!E41=0),(-Inputs!E31),0)+IF('(Tables)'!F41='(Tables)'!C50,Inputs!F31,0)</f>
        <v>0</v>
      </c>
      <c r="G80" s="116">
        <f>IF(AND('(Tables)'!G41=1,'(Tables)'!F41=0),(-Inputs!E31),0)+IF('(Tables)'!G41='(Tables)'!C50,Inputs!F31,0)</f>
        <v>0</v>
      </c>
      <c r="H80" s="69">
        <f t="shared" si="20"/>
        <v>0</v>
      </c>
      <c r="I80" s="116">
        <f>IF(AND('(Tables)'!I41=1,'(Tables)'!G41=0),(-Inputs!E31),0)+IF('(Tables)'!I41='(Tables)'!C50,Inputs!F31,0)</f>
        <v>0</v>
      </c>
      <c r="J80" s="116">
        <f>IF(AND('(Tables)'!J41=1,'(Tables)'!I41=0),(-Inputs!E31),0)+IF('(Tables)'!J41='(Tables)'!C50,Inputs!F31,0)</f>
        <v>0</v>
      </c>
      <c r="K80" s="116">
        <f>IF(AND('(Tables)'!K41=1,'(Tables)'!J41=0),(-Inputs!E31),0)+IF('(Tables)'!K41='(Tables)'!C50,Inputs!F31,0)</f>
        <v>0</v>
      </c>
      <c r="L80" s="116">
        <f>IF(AND('(Tables)'!L41=1,'(Tables)'!K41=0),(-Inputs!E31),0)+IF('(Tables)'!L41='(Tables)'!C50,Inputs!F31,0)</f>
        <v>0</v>
      </c>
      <c r="M80" s="69">
        <f t="shared" si="21"/>
        <v>0</v>
      </c>
    </row>
    <row r="81" spans="1:13" ht="12.75" hidden="1" customHeight="1" outlineLevel="2" x14ac:dyDescent="0.2">
      <c r="A81" s="144" t="str">
        <f>"         "&amp;Labels!C169</f>
        <v xml:space="preserve">         Total</v>
      </c>
      <c r="B81" s="159">
        <f>SUM(B79:B80)</f>
        <v>0</v>
      </c>
      <c r="C81" s="69">
        <f>SUM(B79:B80)</f>
        <v>0</v>
      </c>
      <c r="D81" s="159">
        <f>SUM(D79:D80)</f>
        <v>0</v>
      </c>
      <c r="E81" s="159">
        <f>SUM(E79:E80)</f>
        <v>0</v>
      </c>
      <c r="F81" s="159">
        <f>SUM(F79:F80)</f>
        <v>0</v>
      </c>
      <c r="G81" s="159">
        <f>SUM(G79:G80)</f>
        <v>0</v>
      </c>
      <c r="H81" s="69">
        <f t="shared" si="20"/>
        <v>0</v>
      </c>
      <c r="I81" s="159">
        <f>SUM(I79:I80)</f>
        <v>0</v>
      </c>
      <c r="J81" s="159">
        <f>SUM(J79:J80)</f>
        <v>0</v>
      </c>
      <c r="K81" s="159">
        <f>SUM(K79:K80)</f>
        <v>0</v>
      </c>
      <c r="L81" s="159">
        <f>SUM(L79:L80)</f>
        <v>0</v>
      </c>
      <c r="M81" s="69">
        <f t="shared" si="21"/>
        <v>0</v>
      </c>
    </row>
    <row r="82" spans="1:13" ht="12.75" hidden="1" customHeight="1" outlineLevel="2" x14ac:dyDescent="0.2">
      <c r="A82" s="114" t="str">
        <f>"      "&amp;Labels!C165</f>
        <v xml:space="preserve">      Total</v>
      </c>
      <c r="B82" s="113">
        <f>SUM(B77,B81)</f>
        <v>0</v>
      </c>
      <c r="C82" s="69">
        <f>SUM(B77,B81)</f>
        <v>0</v>
      </c>
      <c r="D82" s="113">
        <f>SUM(D83:D84)</f>
        <v>0</v>
      </c>
      <c r="E82" s="113">
        <f>SUM(E83:E84)</f>
        <v>0</v>
      </c>
      <c r="F82" s="113">
        <f>SUM(F83:F84)</f>
        <v>0</v>
      </c>
      <c r="G82" s="113">
        <f>SUM(G83:G84)</f>
        <v>0</v>
      </c>
      <c r="H82" s="69">
        <f t="shared" si="20"/>
        <v>0</v>
      </c>
      <c r="I82" s="113">
        <f>SUM(I83:I84)</f>
        <v>0</v>
      </c>
      <c r="J82" s="113">
        <f>SUM(J83:J84)</f>
        <v>0</v>
      </c>
      <c r="K82" s="113">
        <f>SUM(K83:K84)</f>
        <v>0</v>
      </c>
      <c r="L82" s="113">
        <f>SUM(L83:L84)</f>
        <v>0</v>
      </c>
      <c r="M82" s="69">
        <f t="shared" si="21"/>
        <v>0</v>
      </c>
    </row>
    <row r="83" spans="1:13" ht="12.75" hidden="1" customHeight="1" outlineLevel="2" x14ac:dyDescent="0.2">
      <c r="A83" s="144" t="str">
        <f>"         "&amp;Labels!B170</f>
        <v xml:space="preserve">         Invest 1</v>
      </c>
      <c r="B83" s="116">
        <f>SUM(B75,B79)</f>
        <v>0</v>
      </c>
      <c r="C83" s="69">
        <f>SUM(B75,B79)</f>
        <v>0</v>
      </c>
      <c r="D83" s="116">
        <f t="shared" ref="D83:G85" si="22">SUM(D75,D79)</f>
        <v>0</v>
      </c>
      <c r="E83" s="116">
        <f t="shared" si="22"/>
        <v>0</v>
      </c>
      <c r="F83" s="116">
        <f t="shared" si="22"/>
        <v>0</v>
      </c>
      <c r="G83" s="116">
        <f t="shared" si="22"/>
        <v>0</v>
      </c>
      <c r="H83" s="69">
        <f t="shared" si="20"/>
        <v>0</v>
      </c>
      <c r="I83" s="116">
        <f t="shared" ref="I83:L85" si="23">SUM(I75,I79)</f>
        <v>0</v>
      </c>
      <c r="J83" s="116">
        <f t="shared" si="23"/>
        <v>0</v>
      </c>
      <c r="K83" s="116">
        <f t="shared" si="23"/>
        <v>0</v>
      </c>
      <c r="L83" s="116">
        <f t="shared" si="23"/>
        <v>0</v>
      </c>
      <c r="M83" s="69">
        <f t="shared" si="21"/>
        <v>0</v>
      </c>
    </row>
    <row r="84" spans="1:13" ht="12.75" hidden="1" customHeight="1" outlineLevel="2" x14ac:dyDescent="0.2">
      <c r="A84" s="144" t="str">
        <f>"         "&amp;Labels!B171</f>
        <v xml:space="preserve">         Invest 2</v>
      </c>
      <c r="B84" s="116">
        <f>SUM(B76,B80)</f>
        <v>0</v>
      </c>
      <c r="C84" s="69">
        <f>SUM(B76,B80)</f>
        <v>0</v>
      </c>
      <c r="D84" s="116">
        <f t="shared" si="22"/>
        <v>0</v>
      </c>
      <c r="E84" s="116">
        <f t="shared" si="22"/>
        <v>0</v>
      </c>
      <c r="F84" s="116">
        <f t="shared" si="22"/>
        <v>0</v>
      </c>
      <c r="G84" s="116">
        <f t="shared" si="22"/>
        <v>0</v>
      </c>
      <c r="H84" s="69">
        <f t="shared" si="20"/>
        <v>0</v>
      </c>
      <c r="I84" s="116">
        <f t="shared" si="23"/>
        <v>0</v>
      </c>
      <c r="J84" s="116">
        <f t="shared" si="23"/>
        <v>0</v>
      </c>
      <c r="K84" s="116">
        <f t="shared" si="23"/>
        <v>0</v>
      </c>
      <c r="L84" s="116">
        <f t="shared" si="23"/>
        <v>0</v>
      </c>
      <c r="M84" s="69">
        <f t="shared" si="21"/>
        <v>0</v>
      </c>
    </row>
    <row r="85" spans="1:13" ht="12.75" hidden="1" customHeight="1" outlineLevel="2" x14ac:dyDescent="0.2">
      <c r="A85" s="144" t="str">
        <f>"         "&amp;Labels!C169</f>
        <v xml:space="preserve">         Total</v>
      </c>
      <c r="B85" s="159">
        <f>SUM(B77,B81)</f>
        <v>0</v>
      </c>
      <c r="C85" s="69">
        <f>SUM(B77,B81)</f>
        <v>0</v>
      </c>
      <c r="D85" s="159">
        <f t="shared" si="22"/>
        <v>0</v>
      </c>
      <c r="E85" s="159">
        <f t="shared" si="22"/>
        <v>0</v>
      </c>
      <c r="F85" s="159">
        <f t="shared" si="22"/>
        <v>0</v>
      </c>
      <c r="G85" s="159">
        <f t="shared" si="22"/>
        <v>0</v>
      </c>
      <c r="H85" s="69">
        <f>SUM(D82:G82)</f>
        <v>0</v>
      </c>
      <c r="I85" s="159">
        <f t="shared" si="23"/>
        <v>0</v>
      </c>
      <c r="J85" s="159">
        <f t="shared" si="23"/>
        <v>0</v>
      </c>
      <c r="K85" s="159">
        <f t="shared" si="23"/>
        <v>0</v>
      </c>
      <c r="L85" s="159">
        <f t="shared" si="23"/>
        <v>0</v>
      </c>
      <c r="M85" s="69">
        <f>SUM(I82:L82)</f>
        <v>0</v>
      </c>
    </row>
    <row r="86" spans="1:13" ht="12.75" hidden="1" customHeight="1" outlineLevel="2" x14ac:dyDescent="0.2">
      <c r="A86" s="117" t="str">
        <f>"   "&amp;Labels!C181</f>
        <v xml:space="preserve">   Total</v>
      </c>
      <c r="B86" s="120">
        <f>SUM(B69,B82)</f>
        <v>0</v>
      </c>
      <c r="C86" s="69">
        <f>SUM(B69,B82)</f>
        <v>0</v>
      </c>
      <c r="D86" s="120">
        <f>SUM(D69,D82)</f>
        <v>0</v>
      </c>
      <c r="E86" s="120">
        <f>SUM(E69,E82)</f>
        <v>0</v>
      </c>
      <c r="F86" s="120">
        <f>SUM(F69,F82)</f>
        <v>0</v>
      </c>
      <c r="G86" s="120">
        <f>SUM(G69,G82)</f>
        <v>0</v>
      </c>
      <c r="H86" s="69">
        <f>SUM(D86:G86)</f>
        <v>0</v>
      </c>
      <c r="I86" s="120">
        <f>SUM(I69,I82)</f>
        <v>0</v>
      </c>
      <c r="J86" s="120">
        <f>SUM(J69,J82)</f>
        <v>0</v>
      </c>
      <c r="K86" s="120">
        <f>SUM(K69,K82)</f>
        <v>0</v>
      </c>
      <c r="L86" s="120">
        <f>SUM(L69,L82)</f>
        <v>0</v>
      </c>
      <c r="M86" s="69">
        <f>SUM(I86:L86)</f>
        <v>0</v>
      </c>
    </row>
    <row r="87" spans="1:13" ht="12.75" hidden="1" customHeight="1" outlineLevel="2" x14ac:dyDescent="0.2">
      <c r="A87" s="144" t="str">
        <f>"      "&amp;Labels!B166</f>
        <v xml:space="preserve">      Depreciable</v>
      </c>
      <c r="B87" s="159"/>
      <c r="C87" s="69"/>
      <c r="D87" s="159"/>
      <c r="E87" s="159"/>
      <c r="F87" s="159"/>
      <c r="G87" s="159"/>
      <c r="H87" s="69"/>
      <c r="I87" s="159"/>
      <c r="J87" s="159"/>
      <c r="K87" s="159"/>
      <c r="L87" s="159"/>
      <c r="M87" s="69"/>
    </row>
    <row r="88" spans="1:13" ht="12.75" hidden="1" customHeight="1" outlineLevel="2" x14ac:dyDescent="0.2">
      <c r="A88" s="144" t="str">
        <f>"         "&amp;Labels!B170</f>
        <v xml:space="preserve">         Invest 1</v>
      </c>
      <c r="B88" s="116">
        <f>SUM(B62,B75)</f>
        <v>0</v>
      </c>
      <c r="C88" s="69">
        <f>SUM(B62,B75)</f>
        <v>0</v>
      </c>
      <c r="D88" s="116">
        <f t="shared" ref="D88:G90" si="24">SUM(D62,D75)</f>
        <v>0</v>
      </c>
      <c r="E88" s="116">
        <f t="shared" si="24"/>
        <v>0</v>
      </c>
      <c r="F88" s="116">
        <f t="shared" si="24"/>
        <v>0</v>
      </c>
      <c r="G88" s="116">
        <f t="shared" si="24"/>
        <v>0</v>
      </c>
      <c r="H88" s="69">
        <f>SUM(D88:G88)</f>
        <v>0</v>
      </c>
      <c r="I88" s="116">
        <f t="shared" ref="I88:L90" si="25">SUM(I62,I75)</f>
        <v>0</v>
      </c>
      <c r="J88" s="116">
        <f t="shared" si="25"/>
        <v>0</v>
      </c>
      <c r="K88" s="116">
        <f t="shared" si="25"/>
        <v>0</v>
      </c>
      <c r="L88" s="116">
        <f t="shared" si="25"/>
        <v>0</v>
      </c>
      <c r="M88" s="69">
        <f>SUM(I88:L88)</f>
        <v>0</v>
      </c>
    </row>
    <row r="89" spans="1:13" ht="12.75" hidden="1" customHeight="1" outlineLevel="2" x14ac:dyDescent="0.2">
      <c r="A89" s="144" t="str">
        <f>"         "&amp;Labels!B171</f>
        <v xml:space="preserve">         Invest 2</v>
      </c>
      <c r="B89" s="116">
        <f>SUM(B63,B76)</f>
        <v>0</v>
      </c>
      <c r="C89" s="69">
        <f>SUM(B63,B76)</f>
        <v>0</v>
      </c>
      <c r="D89" s="116">
        <f t="shared" si="24"/>
        <v>0</v>
      </c>
      <c r="E89" s="116">
        <f t="shared" si="24"/>
        <v>0</v>
      </c>
      <c r="F89" s="116">
        <f t="shared" si="24"/>
        <v>0</v>
      </c>
      <c r="G89" s="116">
        <f t="shared" si="24"/>
        <v>0</v>
      </c>
      <c r="H89" s="69">
        <f>SUM(D89:G89)</f>
        <v>0</v>
      </c>
      <c r="I89" s="116">
        <f t="shared" si="25"/>
        <v>0</v>
      </c>
      <c r="J89" s="116">
        <f t="shared" si="25"/>
        <v>0</v>
      </c>
      <c r="K89" s="116">
        <f t="shared" si="25"/>
        <v>0</v>
      </c>
      <c r="L89" s="116">
        <f t="shared" si="25"/>
        <v>0</v>
      </c>
      <c r="M89" s="69">
        <f>SUM(I89:L89)</f>
        <v>0</v>
      </c>
    </row>
    <row r="90" spans="1:13" ht="12.75" hidden="1" customHeight="1" outlineLevel="2" x14ac:dyDescent="0.2">
      <c r="A90" s="144" t="str">
        <f>"         "&amp;Labels!C169</f>
        <v xml:space="preserve">         Total</v>
      </c>
      <c r="B90" s="159">
        <f>SUM(B64,B77)</f>
        <v>0</v>
      </c>
      <c r="C90" s="69">
        <f>SUM(B64,B77)</f>
        <v>0</v>
      </c>
      <c r="D90" s="159">
        <f t="shared" si="24"/>
        <v>0</v>
      </c>
      <c r="E90" s="159">
        <f t="shared" si="24"/>
        <v>0</v>
      </c>
      <c r="F90" s="159">
        <f t="shared" si="24"/>
        <v>0</v>
      </c>
      <c r="G90" s="159">
        <f t="shared" si="24"/>
        <v>0</v>
      </c>
      <c r="H90" s="69">
        <f>SUM(D90:G90)</f>
        <v>0</v>
      </c>
      <c r="I90" s="159">
        <f t="shared" si="25"/>
        <v>0</v>
      </c>
      <c r="J90" s="159">
        <f t="shared" si="25"/>
        <v>0</v>
      </c>
      <c r="K90" s="159">
        <f t="shared" si="25"/>
        <v>0</v>
      </c>
      <c r="L90" s="159">
        <f t="shared" si="25"/>
        <v>0</v>
      </c>
      <c r="M90" s="69">
        <f>SUM(I90:L90)</f>
        <v>0</v>
      </c>
    </row>
    <row r="91" spans="1:13" ht="12.75" hidden="1" customHeight="1" outlineLevel="2" x14ac:dyDescent="0.2">
      <c r="A91" s="144" t="str">
        <f>"      "&amp;Labels!B167</f>
        <v xml:space="preserve">      Non-Deprec</v>
      </c>
      <c r="B91" s="159"/>
      <c r="C91" s="69"/>
      <c r="D91" s="159"/>
      <c r="E91" s="159"/>
      <c r="F91" s="159"/>
      <c r="G91" s="159"/>
      <c r="H91" s="69"/>
      <c r="I91" s="159"/>
      <c r="J91" s="159"/>
      <c r="K91" s="159"/>
      <c r="L91" s="159"/>
      <c r="M91" s="69"/>
    </row>
    <row r="92" spans="1:13" ht="12.75" hidden="1" customHeight="1" outlineLevel="2" x14ac:dyDescent="0.2">
      <c r="A92" s="144" t="str">
        <f>"         "&amp;Labels!B170</f>
        <v xml:space="preserve">         Invest 1</v>
      </c>
      <c r="B92" s="116">
        <f t="shared" ref="B92:B97" si="26">SUM(B66,B79)</f>
        <v>0</v>
      </c>
      <c r="C92" s="69">
        <f t="shared" ref="C92:C97" si="27">SUM(B66,B79)</f>
        <v>0</v>
      </c>
      <c r="D92" s="116">
        <f t="shared" ref="D92:G97" si="28">SUM(D66,D79)</f>
        <v>0</v>
      </c>
      <c r="E92" s="116">
        <f t="shared" si="28"/>
        <v>0</v>
      </c>
      <c r="F92" s="116">
        <f t="shared" si="28"/>
        <v>0</v>
      </c>
      <c r="G92" s="116">
        <f t="shared" si="28"/>
        <v>0</v>
      </c>
      <c r="H92" s="69">
        <f>SUM(D92:G92)</f>
        <v>0</v>
      </c>
      <c r="I92" s="116">
        <f t="shared" ref="I92:L97" si="29">SUM(I66,I79)</f>
        <v>0</v>
      </c>
      <c r="J92" s="116">
        <f t="shared" si="29"/>
        <v>0</v>
      </c>
      <c r="K92" s="116">
        <f t="shared" si="29"/>
        <v>0</v>
      </c>
      <c r="L92" s="116">
        <f t="shared" si="29"/>
        <v>0</v>
      </c>
      <c r="M92" s="69">
        <f>SUM(I92:L92)</f>
        <v>0</v>
      </c>
    </row>
    <row r="93" spans="1:13" ht="12.75" hidden="1" customHeight="1" outlineLevel="2" x14ac:dyDescent="0.2">
      <c r="A93" s="144" t="str">
        <f>"         "&amp;Labels!B171</f>
        <v xml:space="preserve">         Invest 2</v>
      </c>
      <c r="B93" s="116">
        <f t="shared" si="26"/>
        <v>0</v>
      </c>
      <c r="C93" s="69">
        <f t="shared" si="27"/>
        <v>0</v>
      </c>
      <c r="D93" s="116">
        <f t="shared" si="28"/>
        <v>0</v>
      </c>
      <c r="E93" s="116">
        <f t="shared" si="28"/>
        <v>0</v>
      </c>
      <c r="F93" s="116">
        <f t="shared" si="28"/>
        <v>0</v>
      </c>
      <c r="G93" s="116">
        <f t="shared" si="28"/>
        <v>0</v>
      </c>
      <c r="H93" s="69">
        <f>SUM(D93:G93)</f>
        <v>0</v>
      </c>
      <c r="I93" s="116">
        <f t="shared" si="29"/>
        <v>0</v>
      </c>
      <c r="J93" s="116">
        <f t="shared" si="29"/>
        <v>0</v>
      </c>
      <c r="K93" s="116">
        <f t="shared" si="29"/>
        <v>0</v>
      </c>
      <c r="L93" s="116">
        <f t="shared" si="29"/>
        <v>0</v>
      </c>
      <c r="M93" s="69">
        <f>SUM(I93:L93)</f>
        <v>0</v>
      </c>
    </row>
    <row r="94" spans="1:13" ht="12.75" hidden="1" customHeight="1" outlineLevel="2" x14ac:dyDescent="0.2">
      <c r="A94" s="144" t="str">
        <f>"         "&amp;Labels!C169</f>
        <v xml:space="preserve">         Total</v>
      </c>
      <c r="B94" s="159">
        <f t="shared" si="26"/>
        <v>0</v>
      </c>
      <c r="C94" s="69">
        <f t="shared" si="27"/>
        <v>0</v>
      </c>
      <c r="D94" s="159">
        <f t="shared" si="28"/>
        <v>0</v>
      </c>
      <c r="E94" s="159">
        <f t="shared" si="28"/>
        <v>0</v>
      </c>
      <c r="F94" s="159">
        <f t="shared" si="28"/>
        <v>0</v>
      </c>
      <c r="G94" s="159">
        <f t="shared" si="28"/>
        <v>0</v>
      </c>
      <c r="H94" s="69">
        <f>SUM(D94:G94)</f>
        <v>0</v>
      </c>
      <c r="I94" s="159">
        <f t="shared" si="29"/>
        <v>0</v>
      </c>
      <c r="J94" s="159">
        <f t="shared" si="29"/>
        <v>0</v>
      </c>
      <c r="K94" s="159">
        <f t="shared" si="29"/>
        <v>0</v>
      </c>
      <c r="L94" s="159">
        <f t="shared" si="29"/>
        <v>0</v>
      </c>
      <c r="M94" s="69">
        <f>SUM(I94:L94)</f>
        <v>0</v>
      </c>
    </row>
    <row r="95" spans="1:13" ht="12.75" hidden="1" customHeight="1" outlineLevel="2" x14ac:dyDescent="0.2">
      <c r="A95" s="114" t="str">
        <f>"      "&amp;Labels!C165</f>
        <v xml:space="preserve">      Total</v>
      </c>
      <c r="B95" s="113">
        <f t="shared" si="26"/>
        <v>0</v>
      </c>
      <c r="C95" s="69">
        <f t="shared" si="27"/>
        <v>0</v>
      </c>
      <c r="D95" s="113">
        <f t="shared" si="28"/>
        <v>0</v>
      </c>
      <c r="E95" s="113">
        <f t="shared" si="28"/>
        <v>0</v>
      </c>
      <c r="F95" s="113">
        <f t="shared" si="28"/>
        <v>0</v>
      </c>
      <c r="G95" s="113">
        <f t="shared" si="28"/>
        <v>0</v>
      </c>
      <c r="H95" s="69">
        <f>SUM(D86:G86)</f>
        <v>0</v>
      </c>
      <c r="I95" s="113">
        <f t="shared" si="29"/>
        <v>0</v>
      </c>
      <c r="J95" s="113">
        <f t="shared" si="29"/>
        <v>0</v>
      </c>
      <c r="K95" s="113">
        <f t="shared" si="29"/>
        <v>0</v>
      </c>
      <c r="L95" s="113">
        <f t="shared" si="29"/>
        <v>0</v>
      </c>
      <c r="M95" s="69">
        <f>SUM(I86:L86)</f>
        <v>0</v>
      </c>
    </row>
    <row r="96" spans="1:13" ht="12.75" hidden="1" customHeight="1" outlineLevel="2" x14ac:dyDescent="0.2">
      <c r="A96" s="144" t="str">
        <f>"         "&amp;Labels!B170</f>
        <v xml:space="preserve">         Invest 1</v>
      </c>
      <c r="B96" s="116">
        <f t="shared" si="26"/>
        <v>0</v>
      </c>
      <c r="C96" s="69">
        <f t="shared" si="27"/>
        <v>0</v>
      </c>
      <c r="D96" s="116">
        <f t="shared" si="28"/>
        <v>0</v>
      </c>
      <c r="E96" s="116">
        <f t="shared" si="28"/>
        <v>0</v>
      </c>
      <c r="F96" s="116">
        <f t="shared" si="28"/>
        <v>0</v>
      </c>
      <c r="G96" s="116">
        <f t="shared" si="28"/>
        <v>0</v>
      </c>
      <c r="H96" s="69">
        <f>SUM(D96:G96)</f>
        <v>0</v>
      </c>
      <c r="I96" s="116">
        <f t="shared" si="29"/>
        <v>0</v>
      </c>
      <c r="J96" s="116">
        <f t="shared" si="29"/>
        <v>0</v>
      </c>
      <c r="K96" s="116">
        <f t="shared" si="29"/>
        <v>0</v>
      </c>
      <c r="L96" s="116">
        <f t="shared" si="29"/>
        <v>0</v>
      </c>
      <c r="M96" s="69">
        <f>SUM(I96:L96)</f>
        <v>0</v>
      </c>
    </row>
    <row r="97" spans="1:13" ht="12.75" hidden="1" customHeight="1" outlineLevel="2" x14ac:dyDescent="0.2">
      <c r="A97" s="144" t="str">
        <f>"         "&amp;Labels!B171</f>
        <v xml:space="preserve">         Invest 2</v>
      </c>
      <c r="B97" s="116">
        <f t="shared" si="26"/>
        <v>0</v>
      </c>
      <c r="C97" s="69">
        <f t="shared" si="27"/>
        <v>0</v>
      </c>
      <c r="D97" s="116">
        <f t="shared" si="28"/>
        <v>0</v>
      </c>
      <c r="E97" s="116">
        <f t="shared" si="28"/>
        <v>0</v>
      </c>
      <c r="F97" s="116">
        <f t="shared" si="28"/>
        <v>0</v>
      </c>
      <c r="G97" s="116">
        <f t="shared" si="28"/>
        <v>0</v>
      </c>
      <c r="H97" s="69">
        <f>SUM(D97:G97)</f>
        <v>0</v>
      </c>
      <c r="I97" s="116">
        <f t="shared" si="29"/>
        <v>0</v>
      </c>
      <c r="J97" s="116">
        <f t="shared" si="29"/>
        <v>0</v>
      </c>
      <c r="K97" s="116">
        <f t="shared" si="29"/>
        <v>0</v>
      </c>
      <c r="L97" s="116">
        <f t="shared" si="29"/>
        <v>0</v>
      </c>
      <c r="M97" s="69">
        <f>SUM(I97:L97)</f>
        <v>0</v>
      </c>
    </row>
    <row r="98" spans="1:13" ht="12.75" hidden="1" customHeight="1" outlineLevel="2" x14ac:dyDescent="0.2">
      <c r="A98" s="160" t="str">
        <f>"         "&amp;Labels!C169</f>
        <v xml:space="preserve">         Total</v>
      </c>
      <c r="B98" s="161">
        <f>SUM(B69,B82)</f>
        <v>0</v>
      </c>
      <c r="C98" s="70">
        <f>SUM(B69,B82)</f>
        <v>0</v>
      </c>
      <c r="D98" s="161">
        <f>SUM(D69,D82)</f>
        <v>0</v>
      </c>
      <c r="E98" s="161">
        <f>SUM(E69,E82)</f>
        <v>0</v>
      </c>
      <c r="F98" s="161">
        <f>SUM(F69,F82)</f>
        <v>0</v>
      </c>
      <c r="G98" s="161">
        <f>SUM(G69,G82)</f>
        <v>0</v>
      </c>
      <c r="H98" s="70">
        <f>SUM(D86:G86)</f>
        <v>0</v>
      </c>
      <c r="I98" s="161">
        <f>SUM(I69,I82)</f>
        <v>0</v>
      </c>
      <c r="J98" s="161">
        <f>SUM(J69,J82)</f>
        <v>0</v>
      </c>
      <c r="K98" s="161">
        <f>SUM(K69,K82)</f>
        <v>0</v>
      </c>
      <c r="L98" s="161">
        <f>SUM(L69,L82)</f>
        <v>0</v>
      </c>
      <c r="M98" s="70">
        <f>SUM(I86:L86)</f>
        <v>0</v>
      </c>
    </row>
    <row r="99" spans="1:13" ht="12.75" hidden="1" customHeight="1" outlineLevel="2" collapsed="1" x14ac:dyDescent="0.2"/>
    <row r="100" spans="1:13" ht="12.75" hidden="1" customHeight="1" outlineLevel="1" collapsed="1" x14ac:dyDescent="0.2"/>
    <row r="101" spans="1:13" ht="12.75" customHeight="1" collapsed="1" x14ac:dyDescent="0.2">
      <c r="A101" s="272" t="str">
        <f>"Cash Flow - Working Capital"</f>
        <v>Cash Flow - Working Capital</v>
      </c>
      <c r="B101" s="272"/>
    </row>
    <row r="102" spans="1:13" ht="12.75" hidden="1" customHeight="1" outlineLevel="1" x14ac:dyDescent="0.2">
      <c r="A102" s="272" t="str">
        <f>""</f>
        <v/>
      </c>
      <c r="B102" s="272"/>
    </row>
    <row r="103" spans="1:13" ht="12.75" hidden="1" customHeight="1" outlineLevel="1" x14ac:dyDescent="0.2">
      <c r="B103" s="17" t="str">
        <f>'(FnCalls 1)'!G6</f>
        <v>Q4 2010</v>
      </c>
      <c r="C103" s="62" t="str">
        <f>'(FnCalls 1)'!H4</f>
        <v>2010</v>
      </c>
      <c r="D103" s="18" t="str">
        <f>'(FnCalls 1)'!G7</f>
        <v>Q1 2011</v>
      </c>
      <c r="E103" s="18" t="str">
        <f>'(FnCalls 1)'!G8</f>
        <v>Q2 2011</v>
      </c>
      <c r="F103" s="18" t="str">
        <f>'(FnCalls 1)'!G9</f>
        <v>Q3 2011</v>
      </c>
      <c r="G103" s="18" t="str">
        <f>'(FnCalls 1)'!G10</f>
        <v>Q4 2011</v>
      </c>
      <c r="H103" s="62" t="str">
        <f>'(FnCalls 1)'!H7</f>
        <v>2011</v>
      </c>
      <c r="I103" s="18" t="str">
        <f>'(FnCalls 1)'!G11</f>
        <v>Q1 2012</v>
      </c>
      <c r="J103" s="18" t="str">
        <f>'(FnCalls 1)'!G12</f>
        <v>Q2 2012</v>
      </c>
      <c r="K103" s="18" t="str">
        <f>'(FnCalls 1)'!G13</f>
        <v>Q3 2012</v>
      </c>
      <c r="L103" s="18" t="str">
        <f>'(FnCalls 1)'!G14</f>
        <v>Q4 2012</v>
      </c>
      <c r="M103" s="62" t="str">
        <f>'(FnCalls 1)'!H11</f>
        <v>2012</v>
      </c>
    </row>
    <row r="104" spans="1:13" ht="12.75" hidden="1" customHeight="1" outlineLevel="1" x14ac:dyDescent="0.2">
      <c r="A104" s="111" t="str">
        <f>Labels!B21</f>
        <v>Cash Flow - Working Cap</v>
      </c>
      <c r="B104" s="110"/>
      <c r="C104" s="75"/>
      <c r="D104" s="110"/>
      <c r="E104" s="110"/>
      <c r="F104" s="110"/>
      <c r="G104" s="110"/>
      <c r="H104" s="75"/>
      <c r="I104" s="110"/>
      <c r="J104" s="110"/>
      <c r="K104" s="110"/>
      <c r="L104" s="110"/>
      <c r="M104" s="75"/>
    </row>
    <row r="105" spans="1:13" ht="12.75" hidden="1" customHeight="1" outlineLevel="1" x14ac:dyDescent="0.2">
      <c r="A105" s="114" t="str">
        <f>"   "&amp;Labels!B182</f>
        <v xml:space="preserve">   Catamarans</v>
      </c>
      <c r="B105" s="113">
        <f>SUM(B119:B120)</f>
        <v>0</v>
      </c>
      <c r="C105" s="69">
        <f>SUM(B119:B120)</f>
        <v>0</v>
      </c>
      <c r="D105" s="113">
        <f>SUM(D119:D120)</f>
        <v>0</v>
      </c>
      <c r="E105" s="113">
        <f>SUM(E119:E120)</f>
        <v>0</v>
      </c>
      <c r="F105" s="113">
        <f>SUM(F119:F120)</f>
        <v>0</v>
      </c>
      <c r="G105" s="113">
        <f>SUM(G119:G120)</f>
        <v>0</v>
      </c>
      <c r="H105" s="69">
        <f>SUM(D105:G105)</f>
        <v>0</v>
      </c>
      <c r="I105" s="113">
        <f>SUM(I119:I120)</f>
        <v>0</v>
      </c>
      <c r="J105" s="113">
        <f>SUM(J119:J120)</f>
        <v>0</v>
      </c>
      <c r="K105" s="113">
        <f>SUM(K119:K120)</f>
        <v>0</v>
      </c>
      <c r="L105" s="113">
        <f>SUM(L119:L120)</f>
        <v>0</v>
      </c>
      <c r="M105" s="69">
        <f>SUM(I105:L105)</f>
        <v>0</v>
      </c>
    </row>
    <row r="106" spans="1:13" ht="12.75" hidden="1" customHeight="1" outlineLevel="1" x14ac:dyDescent="0.2">
      <c r="A106" s="114" t="str">
        <f>"   "&amp;Labels!B183</f>
        <v xml:space="preserve">   Canoes</v>
      </c>
      <c r="B106" s="113">
        <f>SUM(B123:B124)</f>
        <v>0</v>
      </c>
      <c r="C106" s="69">
        <f>SUM(B123:B124)</f>
        <v>0</v>
      </c>
      <c r="D106" s="113">
        <f>SUM(D123:D124)</f>
        <v>0</v>
      </c>
      <c r="E106" s="113">
        <f>SUM(E123:E124)</f>
        <v>0</v>
      </c>
      <c r="F106" s="113">
        <f>SUM(F123:F124)</f>
        <v>0</v>
      </c>
      <c r="G106" s="113">
        <f>SUM(G123:G124)</f>
        <v>0</v>
      </c>
      <c r="H106" s="69">
        <f>SUM(D106:G106)</f>
        <v>0</v>
      </c>
      <c r="I106" s="113">
        <f>SUM(I123:I124)</f>
        <v>0</v>
      </c>
      <c r="J106" s="113">
        <f>SUM(J123:J124)</f>
        <v>0</v>
      </c>
      <c r="K106" s="113">
        <f>SUM(K123:K124)</f>
        <v>0</v>
      </c>
      <c r="L106" s="113">
        <f>SUM(L123:L124)</f>
        <v>0</v>
      </c>
      <c r="M106" s="69">
        <f>SUM(I106:L106)</f>
        <v>0</v>
      </c>
    </row>
    <row r="107" spans="1:13" ht="12.75" hidden="1" customHeight="1" outlineLevel="1" x14ac:dyDescent="0.2">
      <c r="A107" s="117" t="str">
        <f>"   "&amp;Labels!C181</f>
        <v xml:space="preserve">   Total</v>
      </c>
      <c r="B107" s="120">
        <f>SUM(B105:B106)</f>
        <v>0</v>
      </c>
      <c r="C107" s="69">
        <f>SUM(B105:B106)</f>
        <v>0</v>
      </c>
      <c r="D107" s="120">
        <f>SUM(D105:D106)</f>
        <v>0</v>
      </c>
      <c r="E107" s="120">
        <f>SUM(E105:E106)</f>
        <v>0</v>
      </c>
      <c r="F107" s="120">
        <f>SUM(F105:F106)</f>
        <v>0</v>
      </c>
      <c r="G107" s="120">
        <f>SUM(G105:G106)</f>
        <v>0</v>
      </c>
      <c r="H107" s="69">
        <f>SUM(D107:G107)</f>
        <v>0</v>
      </c>
      <c r="I107" s="120">
        <f>SUM(I105:I106)</f>
        <v>0</v>
      </c>
      <c r="J107" s="120">
        <f>SUM(J105:J106)</f>
        <v>0</v>
      </c>
      <c r="K107" s="120">
        <f>SUM(K105:K106)</f>
        <v>0</v>
      </c>
      <c r="L107" s="120">
        <f>SUM(L105:L106)</f>
        <v>0</v>
      </c>
      <c r="M107" s="69">
        <f>SUM(I107:L107)</f>
        <v>0</v>
      </c>
    </row>
    <row r="108" spans="1:13" ht="12.75" hidden="1" customHeight="1" outlineLevel="1" x14ac:dyDescent="0.2">
      <c r="A108" s="12"/>
      <c r="B108" s="10"/>
      <c r="C108" s="12"/>
      <c r="D108" s="10"/>
      <c r="E108" s="10"/>
      <c r="F108" s="10"/>
      <c r="G108" s="10"/>
      <c r="H108" s="12"/>
      <c r="I108" s="10"/>
      <c r="J108" s="10"/>
      <c r="K108" s="10"/>
      <c r="L108" s="10"/>
      <c r="M108" s="12"/>
    </row>
    <row r="109" spans="1:13" ht="12.75" hidden="1" customHeight="1" outlineLevel="1" x14ac:dyDescent="0.2">
      <c r="A109" s="117" t="str">
        <f>Labels!B131</f>
        <v>Working Capital</v>
      </c>
      <c r="B109" s="120"/>
      <c r="C109" s="69"/>
      <c r="D109" s="120"/>
      <c r="E109" s="120"/>
      <c r="F109" s="120"/>
      <c r="G109" s="120"/>
      <c r="H109" s="69"/>
      <c r="I109" s="120"/>
      <c r="J109" s="120"/>
      <c r="K109" s="120"/>
      <c r="L109" s="120"/>
      <c r="M109" s="69"/>
    </row>
    <row r="110" spans="1:13" ht="12.75" hidden="1" customHeight="1" outlineLevel="1" x14ac:dyDescent="0.2">
      <c r="A110" s="114" t="str">
        <f>"   "&amp;Labels!B182</f>
        <v xml:space="preserve">   Catamarans</v>
      </c>
      <c r="B110" s="113">
        <f>SUM(B135:B136)</f>
        <v>0</v>
      </c>
      <c r="C110" s="69">
        <f>SUM(B135:B136)</f>
        <v>0</v>
      </c>
      <c r="D110" s="113">
        <f>SUM(D135:D136)</f>
        <v>0</v>
      </c>
      <c r="E110" s="113">
        <f>SUM(E135:E136)</f>
        <v>0</v>
      </c>
      <c r="F110" s="113">
        <f>SUM(F135:F136)</f>
        <v>0</v>
      </c>
      <c r="G110" s="113">
        <f>SUM(G135:G136)</f>
        <v>0</v>
      </c>
      <c r="H110" s="69">
        <f>SUM(G135:G136)</f>
        <v>0</v>
      </c>
      <c r="I110" s="113">
        <f>SUM(I135:I136)</f>
        <v>0</v>
      </c>
      <c r="J110" s="113">
        <f>SUM(J135:J136)</f>
        <v>0</v>
      </c>
      <c r="K110" s="113">
        <f>SUM(K135:K136)</f>
        <v>0</v>
      </c>
      <c r="L110" s="113">
        <f>SUM(L135:L136)</f>
        <v>0</v>
      </c>
      <c r="M110" s="69">
        <f>SUM(L135:L136)</f>
        <v>0</v>
      </c>
    </row>
    <row r="111" spans="1:13" ht="12.75" hidden="1" customHeight="1" outlineLevel="1" x14ac:dyDescent="0.2">
      <c r="A111" s="114" t="str">
        <f>"   "&amp;Labels!B183</f>
        <v xml:space="preserve">   Canoes</v>
      </c>
      <c r="B111" s="113">
        <f>SUM(B139:B140)</f>
        <v>0</v>
      </c>
      <c r="C111" s="69">
        <f>SUM(B139:B140)</f>
        <v>0</v>
      </c>
      <c r="D111" s="113">
        <f>SUM(D139:D140)</f>
        <v>0</v>
      </c>
      <c r="E111" s="113">
        <f>SUM(E139:E140)</f>
        <v>0</v>
      </c>
      <c r="F111" s="113">
        <f>SUM(F139:F140)</f>
        <v>0</v>
      </c>
      <c r="G111" s="113">
        <f>SUM(G139:G140)</f>
        <v>0</v>
      </c>
      <c r="H111" s="69">
        <f>SUM(G139:G140)</f>
        <v>0</v>
      </c>
      <c r="I111" s="113">
        <f>SUM(I139:I140)</f>
        <v>0</v>
      </c>
      <c r="J111" s="113">
        <f>SUM(J139:J140)</f>
        <v>0</v>
      </c>
      <c r="K111" s="113">
        <f>SUM(K139:K140)</f>
        <v>0</v>
      </c>
      <c r="L111" s="113">
        <f>SUM(L139:L140)</f>
        <v>0</v>
      </c>
      <c r="M111" s="69">
        <f>SUM(L139:L140)</f>
        <v>0</v>
      </c>
    </row>
    <row r="112" spans="1:13" ht="12.75" hidden="1" customHeight="1" outlineLevel="1" x14ac:dyDescent="0.2">
      <c r="A112" s="121" t="str">
        <f>"   "&amp;Labels!C181</f>
        <v xml:space="preserve">   Total</v>
      </c>
      <c r="B112" s="132">
        <f>SUM(B110:B111)</f>
        <v>0</v>
      </c>
      <c r="C112" s="70">
        <f>SUM(B110:B111)</f>
        <v>0</v>
      </c>
      <c r="D112" s="132">
        <f>SUM(D110:D111)</f>
        <v>0</v>
      </c>
      <c r="E112" s="132">
        <f>SUM(E110:E111)</f>
        <v>0</v>
      </c>
      <c r="F112" s="132">
        <f>SUM(F110:F111)</f>
        <v>0</v>
      </c>
      <c r="G112" s="132">
        <f>SUM(G110:G111)</f>
        <v>0</v>
      </c>
      <c r="H112" s="70">
        <f>SUM(G110:G111)</f>
        <v>0</v>
      </c>
      <c r="I112" s="132">
        <f>SUM(I110:I111)</f>
        <v>0</v>
      </c>
      <c r="J112" s="132">
        <f>SUM(J110:J111)</f>
        <v>0</v>
      </c>
      <c r="K112" s="132">
        <f>SUM(K110:K111)</f>
        <v>0</v>
      </c>
      <c r="L112" s="132">
        <f>SUM(L110:L111)</f>
        <v>0</v>
      </c>
      <c r="M112" s="70">
        <f>SUM(L110:L111)</f>
        <v>0</v>
      </c>
    </row>
    <row r="113" spans="1:13" ht="12.75" hidden="1" customHeight="1" outlineLevel="1" x14ac:dyDescent="0.2"/>
    <row r="114" spans="1:13" ht="12.75" hidden="1" customHeight="1" outlineLevel="1" x14ac:dyDescent="0.2">
      <c r="A114" s="272" t="str">
        <f>"Cash Flow - Working Capital, Detail"</f>
        <v>Cash Flow - Working Capital, Detail</v>
      </c>
      <c r="B114" s="272"/>
      <c r="C114" s="272"/>
    </row>
    <row r="115" spans="1:13" ht="12.75" hidden="1" customHeight="1" outlineLevel="2" x14ac:dyDescent="0.2">
      <c r="A115" s="272" t="str">
        <f>""</f>
        <v/>
      </c>
      <c r="B115" s="272"/>
      <c r="C115" s="272"/>
    </row>
    <row r="116" spans="1:13" ht="12.75" hidden="1" customHeight="1" outlineLevel="2" x14ac:dyDescent="0.2">
      <c r="B116" s="17" t="str">
        <f>'(FnCalls 1)'!G6</f>
        <v>Q4 2010</v>
      </c>
      <c r="C116" s="62" t="str">
        <f>'(FnCalls 1)'!H4</f>
        <v>2010</v>
      </c>
      <c r="D116" s="18" t="str">
        <f>'(FnCalls 1)'!G7</f>
        <v>Q1 2011</v>
      </c>
      <c r="E116" s="18" t="str">
        <f>'(FnCalls 1)'!G8</f>
        <v>Q2 2011</v>
      </c>
      <c r="F116" s="18" t="str">
        <f>'(FnCalls 1)'!G9</f>
        <v>Q3 2011</v>
      </c>
      <c r="G116" s="18" t="str">
        <f>'(FnCalls 1)'!G10</f>
        <v>Q4 2011</v>
      </c>
      <c r="H116" s="62" t="str">
        <f>'(FnCalls 1)'!H7</f>
        <v>2011</v>
      </c>
      <c r="I116" s="18" t="str">
        <f>'(FnCalls 1)'!G11</f>
        <v>Q1 2012</v>
      </c>
      <c r="J116" s="18" t="str">
        <f>'(FnCalls 1)'!G12</f>
        <v>Q2 2012</v>
      </c>
      <c r="K116" s="18" t="str">
        <f>'(FnCalls 1)'!G13</f>
        <v>Q3 2012</v>
      </c>
      <c r="L116" s="18" t="str">
        <f>'(FnCalls 1)'!G14</f>
        <v>Q4 2012</v>
      </c>
      <c r="M116" s="62" t="str">
        <f>'(FnCalls 1)'!H11</f>
        <v>2012</v>
      </c>
    </row>
    <row r="117" spans="1:13" ht="12.75" hidden="1" customHeight="1" outlineLevel="2" x14ac:dyDescent="0.2">
      <c r="A117" s="111" t="str">
        <f>Labels!B21</f>
        <v>Cash Flow - Working Cap</v>
      </c>
      <c r="B117" s="110"/>
      <c r="C117" s="75"/>
      <c r="D117" s="110"/>
      <c r="E117" s="110"/>
      <c r="F117" s="110"/>
      <c r="G117" s="110"/>
      <c r="H117" s="75"/>
      <c r="I117" s="110"/>
      <c r="J117" s="110"/>
      <c r="K117" s="110"/>
      <c r="L117" s="110"/>
      <c r="M117" s="75"/>
    </row>
    <row r="118" spans="1:13" ht="12.75" hidden="1" customHeight="1" outlineLevel="2" x14ac:dyDescent="0.2">
      <c r="A118" s="114" t="str">
        <f>"   "&amp;Labels!B182</f>
        <v xml:space="preserve">   Catamarans</v>
      </c>
      <c r="B118" s="113"/>
      <c r="C118" s="69"/>
      <c r="D118" s="113"/>
      <c r="E118" s="113"/>
      <c r="F118" s="113"/>
      <c r="G118" s="113"/>
      <c r="H118" s="69"/>
      <c r="I118" s="113"/>
      <c r="J118" s="113"/>
      <c r="K118" s="113"/>
      <c r="L118" s="113"/>
      <c r="M118" s="69"/>
    </row>
    <row r="119" spans="1:13" ht="12.75" hidden="1" customHeight="1" outlineLevel="2" x14ac:dyDescent="0.2">
      <c r="A119" s="144" t="str">
        <f>"      "&amp;Labels!B190</f>
        <v xml:space="preserve">      Receivables</v>
      </c>
      <c r="B119" s="159">
        <f>0+'(Compute)'!B129-B135</f>
        <v>0</v>
      </c>
      <c r="C119" s="69">
        <f>B119</f>
        <v>0</v>
      </c>
      <c r="D119" s="159">
        <f>B135+'(Compute)'!D129-D135</f>
        <v>0</v>
      </c>
      <c r="E119" s="159">
        <f>D135+'(Compute)'!E129-E135</f>
        <v>0</v>
      </c>
      <c r="F119" s="159">
        <f>E135+'(Compute)'!F129-F135</f>
        <v>0</v>
      </c>
      <c r="G119" s="159">
        <f>F135+'(Compute)'!G129-G135</f>
        <v>0</v>
      </c>
      <c r="H119" s="69">
        <f>SUM(D119:G119)</f>
        <v>0</v>
      </c>
      <c r="I119" s="159">
        <f>G135+'(Compute)'!I129-I135</f>
        <v>0</v>
      </c>
      <c r="J119" s="159">
        <f>I135+'(Compute)'!J129-J135</f>
        <v>0</v>
      </c>
      <c r="K119" s="159">
        <f>J135+'(Compute)'!K129-K135</f>
        <v>0</v>
      </c>
      <c r="L119" s="159">
        <f>K135+'(Compute)'!L129-L135</f>
        <v>0</v>
      </c>
      <c r="M119" s="69">
        <f>SUM(I119:L119)</f>
        <v>0</v>
      </c>
    </row>
    <row r="120" spans="1:13" ht="12.75" hidden="1" customHeight="1" outlineLevel="2" x14ac:dyDescent="0.2">
      <c r="A120" s="144" t="str">
        <f>"      "&amp;Labels!B191</f>
        <v xml:space="preserve">      Supplies inventory</v>
      </c>
      <c r="B120" s="159">
        <f>0+'(Compute)'!B133-B136</f>
        <v>0</v>
      </c>
      <c r="C120" s="69">
        <f>B120</f>
        <v>0</v>
      </c>
      <c r="D120" s="159">
        <f>B136+'(Compute)'!D133-D136</f>
        <v>0</v>
      </c>
      <c r="E120" s="159">
        <f>D136+'(Compute)'!E133-E136</f>
        <v>0</v>
      </c>
      <c r="F120" s="159">
        <f>E136+'(Compute)'!F133-F136</f>
        <v>0</v>
      </c>
      <c r="G120" s="159">
        <f>F136+'(Compute)'!G133-G136</f>
        <v>0</v>
      </c>
      <c r="H120" s="69">
        <f>SUM(D120:G120)</f>
        <v>0</v>
      </c>
      <c r="I120" s="159">
        <f>G136+'(Compute)'!I133-I136</f>
        <v>0</v>
      </c>
      <c r="J120" s="159">
        <f>I136+'(Compute)'!J133-J136</f>
        <v>0</v>
      </c>
      <c r="K120" s="159">
        <f>J136+'(Compute)'!K133-K136</f>
        <v>0</v>
      </c>
      <c r="L120" s="159">
        <f>K136+'(Compute)'!L133-L136</f>
        <v>0</v>
      </c>
      <c r="M120" s="69">
        <f>SUM(I120:L120)</f>
        <v>0</v>
      </c>
    </row>
    <row r="121" spans="1:13" ht="12.75" hidden="1" customHeight="1" outlineLevel="2" x14ac:dyDescent="0.2">
      <c r="A121" s="114" t="str">
        <f>"      "&amp;Labels!C189</f>
        <v xml:space="preserve">      Total</v>
      </c>
      <c r="B121" s="113">
        <f>SUM(B119:B120)</f>
        <v>0</v>
      </c>
      <c r="C121" s="69">
        <f>SUM(B119:B120)</f>
        <v>0</v>
      </c>
      <c r="D121" s="113">
        <f>SUM(D119:D120)</f>
        <v>0</v>
      </c>
      <c r="E121" s="113">
        <f>SUM(E119:E120)</f>
        <v>0</v>
      </c>
      <c r="F121" s="113">
        <f>SUM(F119:F120)</f>
        <v>0</v>
      </c>
      <c r="G121" s="113">
        <f>SUM(G119:G120)</f>
        <v>0</v>
      </c>
      <c r="H121" s="69">
        <f>SUM(D121:G121)</f>
        <v>0</v>
      </c>
      <c r="I121" s="113">
        <f>SUM(I119:I120)</f>
        <v>0</v>
      </c>
      <c r="J121" s="113">
        <f>SUM(J119:J120)</f>
        <v>0</v>
      </c>
      <c r="K121" s="113">
        <f>SUM(K119:K120)</f>
        <v>0</v>
      </c>
      <c r="L121" s="113">
        <f>SUM(L119:L120)</f>
        <v>0</v>
      </c>
      <c r="M121" s="69">
        <f>SUM(I121:L121)</f>
        <v>0</v>
      </c>
    </row>
    <row r="122" spans="1:13" ht="12.75" hidden="1" customHeight="1" outlineLevel="2" x14ac:dyDescent="0.2">
      <c r="A122" s="114" t="str">
        <f>"   "&amp;Labels!B183</f>
        <v xml:space="preserve">   Canoes</v>
      </c>
      <c r="B122" s="113"/>
      <c r="C122" s="69"/>
      <c r="D122" s="113"/>
      <c r="E122" s="113"/>
      <c r="F122" s="113"/>
      <c r="G122" s="113"/>
      <c r="H122" s="69"/>
      <c r="I122" s="113"/>
      <c r="J122" s="113"/>
      <c r="K122" s="113"/>
      <c r="L122" s="113"/>
      <c r="M122" s="69"/>
    </row>
    <row r="123" spans="1:13" ht="12.75" hidden="1" customHeight="1" outlineLevel="2" x14ac:dyDescent="0.2">
      <c r="A123" s="144" t="str">
        <f>"      "&amp;Labels!B190</f>
        <v xml:space="preserve">      Receivables</v>
      </c>
      <c r="B123" s="159">
        <f>0+'(Compute)'!B142-B139</f>
        <v>0</v>
      </c>
      <c r="C123" s="69">
        <f>B123</f>
        <v>0</v>
      </c>
      <c r="D123" s="159">
        <f>B139+'(Compute)'!D142-D139</f>
        <v>0</v>
      </c>
      <c r="E123" s="159">
        <f>D139+'(Compute)'!E142-E139</f>
        <v>0</v>
      </c>
      <c r="F123" s="159">
        <f>E139+'(Compute)'!F142-F139</f>
        <v>0</v>
      </c>
      <c r="G123" s="159">
        <f>F139+'(Compute)'!G142-G139</f>
        <v>0</v>
      </c>
      <c r="H123" s="69">
        <f t="shared" ref="H123:H128" si="30">SUM(D123:G123)</f>
        <v>0</v>
      </c>
      <c r="I123" s="159">
        <f>G139+'(Compute)'!I142-I139</f>
        <v>0</v>
      </c>
      <c r="J123" s="159">
        <f>I139+'(Compute)'!J142-J139</f>
        <v>0</v>
      </c>
      <c r="K123" s="159">
        <f>J139+'(Compute)'!K142-K139</f>
        <v>0</v>
      </c>
      <c r="L123" s="159">
        <f>K139+'(Compute)'!L142-L139</f>
        <v>0</v>
      </c>
      <c r="M123" s="69">
        <f t="shared" ref="M123:M128" si="31">SUM(I123:L123)</f>
        <v>0</v>
      </c>
    </row>
    <row r="124" spans="1:13" ht="12.75" hidden="1" customHeight="1" outlineLevel="2" x14ac:dyDescent="0.2">
      <c r="A124" s="144" t="str">
        <f>"      "&amp;Labels!B191</f>
        <v xml:space="preserve">      Supplies inventory</v>
      </c>
      <c r="B124" s="159">
        <f>0+'(Compute)'!B146-B140</f>
        <v>0</v>
      </c>
      <c r="C124" s="69">
        <f>B124</f>
        <v>0</v>
      </c>
      <c r="D124" s="159">
        <f>B140+'(Compute)'!D146-D140</f>
        <v>0</v>
      </c>
      <c r="E124" s="159">
        <f>D140+'(Compute)'!E146-E140</f>
        <v>0</v>
      </c>
      <c r="F124" s="159">
        <f>E140+'(Compute)'!F146-F140</f>
        <v>0</v>
      </c>
      <c r="G124" s="159">
        <f>F140+'(Compute)'!G146-G140</f>
        <v>0</v>
      </c>
      <c r="H124" s="69">
        <f t="shared" si="30"/>
        <v>0</v>
      </c>
      <c r="I124" s="159">
        <f>G140+'(Compute)'!I146-I140</f>
        <v>0</v>
      </c>
      <c r="J124" s="159">
        <f>I140+'(Compute)'!J146-J140</f>
        <v>0</v>
      </c>
      <c r="K124" s="159">
        <f>J140+'(Compute)'!K146-K140</f>
        <v>0</v>
      </c>
      <c r="L124" s="159">
        <f>K140+'(Compute)'!L146-L140</f>
        <v>0</v>
      </c>
      <c r="M124" s="69">
        <f t="shared" si="31"/>
        <v>0</v>
      </c>
    </row>
    <row r="125" spans="1:13" ht="12.75" hidden="1" customHeight="1" outlineLevel="2" x14ac:dyDescent="0.2">
      <c r="A125" s="114" t="str">
        <f>"      "&amp;Labels!C189</f>
        <v xml:space="preserve">      Total</v>
      </c>
      <c r="B125" s="113">
        <f>SUM(B123:B124)</f>
        <v>0</v>
      </c>
      <c r="C125" s="69">
        <f>SUM(B123:B124)</f>
        <v>0</v>
      </c>
      <c r="D125" s="113">
        <f>SUM(D123:D124)</f>
        <v>0</v>
      </c>
      <c r="E125" s="113">
        <f>SUM(E123:E124)</f>
        <v>0</v>
      </c>
      <c r="F125" s="113">
        <f>SUM(F123:F124)</f>
        <v>0</v>
      </c>
      <c r="G125" s="113">
        <f>SUM(G123:G124)</f>
        <v>0</v>
      </c>
      <c r="H125" s="69">
        <f t="shared" si="30"/>
        <v>0</v>
      </c>
      <c r="I125" s="113">
        <f>SUM(I123:I124)</f>
        <v>0</v>
      </c>
      <c r="J125" s="113">
        <f>SUM(J123:J124)</f>
        <v>0</v>
      </c>
      <c r="K125" s="113">
        <f>SUM(K123:K124)</f>
        <v>0</v>
      </c>
      <c r="L125" s="113">
        <f>SUM(L123:L124)</f>
        <v>0</v>
      </c>
      <c r="M125" s="69">
        <f t="shared" si="31"/>
        <v>0</v>
      </c>
    </row>
    <row r="126" spans="1:13" ht="12.75" hidden="1" customHeight="1" outlineLevel="2" x14ac:dyDescent="0.2">
      <c r="A126" s="117" t="str">
        <f>"   "&amp;Labels!C181</f>
        <v xml:space="preserve">   Total</v>
      </c>
      <c r="B126" s="120">
        <f>SUM(B121,B125)</f>
        <v>0</v>
      </c>
      <c r="C126" s="69">
        <f>SUM(B121,B125)</f>
        <v>0</v>
      </c>
      <c r="D126" s="120">
        <f>SUM(D121,D125)</f>
        <v>0</v>
      </c>
      <c r="E126" s="120">
        <f>SUM(E121,E125)</f>
        <v>0</v>
      </c>
      <c r="F126" s="120">
        <f>SUM(F121,F125)</f>
        <v>0</v>
      </c>
      <c r="G126" s="120">
        <f>SUM(G121,G125)</f>
        <v>0</v>
      </c>
      <c r="H126" s="69">
        <f t="shared" si="30"/>
        <v>0</v>
      </c>
      <c r="I126" s="120">
        <f>SUM(I121,I125)</f>
        <v>0</v>
      </c>
      <c r="J126" s="120">
        <f>SUM(J121,J125)</f>
        <v>0</v>
      </c>
      <c r="K126" s="120">
        <f>SUM(K121,K125)</f>
        <v>0</v>
      </c>
      <c r="L126" s="120">
        <f>SUM(L121,L125)</f>
        <v>0</v>
      </c>
      <c r="M126" s="69">
        <f t="shared" si="31"/>
        <v>0</v>
      </c>
    </row>
    <row r="127" spans="1:13" ht="12.75" hidden="1" customHeight="1" outlineLevel="2" x14ac:dyDescent="0.2">
      <c r="A127" s="144" t="str">
        <f>"      "&amp;Labels!B190</f>
        <v xml:space="preserve">      Receivables</v>
      </c>
      <c r="B127" s="159">
        <f>SUM(B119,B123)</f>
        <v>0</v>
      </c>
      <c r="C127" s="69">
        <f>SUM(B119,B123)</f>
        <v>0</v>
      </c>
      <c r="D127" s="159">
        <f t="shared" ref="D127:G129" si="32">SUM(D119,D123)</f>
        <v>0</v>
      </c>
      <c r="E127" s="159">
        <f t="shared" si="32"/>
        <v>0</v>
      </c>
      <c r="F127" s="159">
        <f t="shared" si="32"/>
        <v>0</v>
      </c>
      <c r="G127" s="159">
        <f t="shared" si="32"/>
        <v>0</v>
      </c>
      <c r="H127" s="69">
        <f t="shared" si="30"/>
        <v>0</v>
      </c>
      <c r="I127" s="159">
        <f t="shared" ref="I127:L129" si="33">SUM(I119,I123)</f>
        <v>0</v>
      </c>
      <c r="J127" s="159">
        <f t="shared" si="33"/>
        <v>0</v>
      </c>
      <c r="K127" s="159">
        <f t="shared" si="33"/>
        <v>0</v>
      </c>
      <c r="L127" s="159">
        <f t="shared" si="33"/>
        <v>0</v>
      </c>
      <c r="M127" s="69">
        <f t="shared" si="31"/>
        <v>0</v>
      </c>
    </row>
    <row r="128" spans="1:13" ht="12.75" hidden="1" customHeight="1" outlineLevel="2" x14ac:dyDescent="0.2">
      <c r="A128" s="144" t="str">
        <f>"      "&amp;Labels!B191</f>
        <v xml:space="preserve">      Supplies inventory</v>
      </c>
      <c r="B128" s="159">
        <f>SUM(B120,B124)</f>
        <v>0</v>
      </c>
      <c r="C128" s="69">
        <f>SUM(B120,B124)</f>
        <v>0</v>
      </c>
      <c r="D128" s="159">
        <f t="shared" si="32"/>
        <v>0</v>
      </c>
      <c r="E128" s="159">
        <f t="shared" si="32"/>
        <v>0</v>
      </c>
      <c r="F128" s="159">
        <f t="shared" si="32"/>
        <v>0</v>
      </c>
      <c r="G128" s="159">
        <f t="shared" si="32"/>
        <v>0</v>
      </c>
      <c r="H128" s="69">
        <f t="shared" si="30"/>
        <v>0</v>
      </c>
      <c r="I128" s="159">
        <f t="shared" si="33"/>
        <v>0</v>
      </c>
      <c r="J128" s="159">
        <f t="shared" si="33"/>
        <v>0</v>
      </c>
      <c r="K128" s="159">
        <f t="shared" si="33"/>
        <v>0</v>
      </c>
      <c r="L128" s="159">
        <f t="shared" si="33"/>
        <v>0</v>
      </c>
      <c r="M128" s="69">
        <f t="shared" si="31"/>
        <v>0</v>
      </c>
    </row>
    <row r="129" spans="1:13" ht="12.75" hidden="1" customHeight="1" outlineLevel="2" x14ac:dyDescent="0.2">
      <c r="A129" s="145" t="str">
        <f>"      "&amp;Labels!C189</f>
        <v xml:space="preserve">      Total</v>
      </c>
      <c r="B129" s="123">
        <f>SUM(B121,B125)</f>
        <v>0</v>
      </c>
      <c r="C129" s="70">
        <f>SUM(B121,B125)</f>
        <v>0</v>
      </c>
      <c r="D129" s="123">
        <f t="shared" si="32"/>
        <v>0</v>
      </c>
      <c r="E129" s="123">
        <f t="shared" si="32"/>
        <v>0</v>
      </c>
      <c r="F129" s="123">
        <f t="shared" si="32"/>
        <v>0</v>
      </c>
      <c r="G129" s="123">
        <f t="shared" si="32"/>
        <v>0</v>
      </c>
      <c r="H129" s="70">
        <f>SUM(D126:G126)</f>
        <v>0</v>
      </c>
      <c r="I129" s="123">
        <f t="shared" si="33"/>
        <v>0</v>
      </c>
      <c r="J129" s="123">
        <f t="shared" si="33"/>
        <v>0</v>
      </c>
      <c r="K129" s="123">
        <f t="shared" si="33"/>
        <v>0</v>
      </c>
      <c r="L129" s="123">
        <f t="shared" si="33"/>
        <v>0</v>
      </c>
      <c r="M129" s="70">
        <f>SUM(I126:L126)</f>
        <v>0</v>
      </c>
    </row>
    <row r="130" spans="1:13" ht="12.75" hidden="1" customHeight="1" outlineLevel="2" collapsed="1" x14ac:dyDescent="0.2"/>
    <row r="131" spans="1:13" ht="12.75" hidden="1" customHeight="1" outlineLevel="1" collapsed="1" x14ac:dyDescent="0.2">
      <c r="A131" s="272" t="str">
        <f>"Working Capital - Detail"</f>
        <v>Working Capital - Detail</v>
      </c>
      <c r="B131" s="272"/>
    </row>
    <row r="132" spans="1:13" ht="12.75" hidden="1" customHeight="1" outlineLevel="2" x14ac:dyDescent="0.2">
      <c r="B132" s="17" t="str">
        <f>'(FnCalls 1)'!G6</f>
        <v>Q4 2010</v>
      </c>
      <c r="C132" s="62" t="str">
        <f>'(FnCalls 1)'!H4</f>
        <v>2010</v>
      </c>
      <c r="D132" s="18" t="str">
        <f>'(FnCalls 1)'!G7</f>
        <v>Q1 2011</v>
      </c>
      <c r="E132" s="18" t="str">
        <f>'(FnCalls 1)'!G8</f>
        <v>Q2 2011</v>
      </c>
      <c r="F132" s="18" t="str">
        <f>'(FnCalls 1)'!G9</f>
        <v>Q3 2011</v>
      </c>
      <c r="G132" s="18" t="str">
        <f>'(FnCalls 1)'!G10</f>
        <v>Q4 2011</v>
      </c>
      <c r="H132" s="62" t="str">
        <f>'(FnCalls 1)'!H7</f>
        <v>2011</v>
      </c>
      <c r="I132" s="18" t="str">
        <f>'(FnCalls 1)'!G11</f>
        <v>Q1 2012</v>
      </c>
      <c r="J132" s="18" t="str">
        <f>'(FnCalls 1)'!G12</f>
        <v>Q2 2012</v>
      </c>
      <c r="K132" s="18" t="str">
        <f>'(FnCalls 1)'!G13</f>
        <v>Q3 2012</v>
      </c>
      <c r="L132" s="18" t="str">
        <f>'(FnCalls 1)'!G14</f>
        <v>Q4 2012</v>
      </c>
      <c r="M132" s="62" t="str">
        <f>'(FnCalls 1)'!H11</f>
        <v>2012</v>
      </c>
    </row>
    <row r="133" spans="1:13" ht="12.75" hidden="1" customHeight="1" outlineLevel="2" x14ac:dyDescent="0.2">
      <c r="A133" s="111" t="str">
        <f>Labels!B131</f>
        <v>Working Capital</v>
      </c>
      <c r="B133" s="110"/>
      <c r="C133" s="75"/>
      <c r="D133" s="110"/>
      <c r="E133" s="110"/>
      <c r="F133" s="110"/>
      <c r="G133" s="110"/>
      <c r="H133" s="75"/>
      <c r="I133" s="110"/>
      <c r="J133" s="110"/>
      <c r="K133" s="110"/>
      <c r="L133" s="110"/>
      <c r="M133" s="75"/>
    </row>
    <row r="134" spans="1:13" ht="12.75" hidden="1" customHeight="1" outlineLevel="2" x14ac:dyDescent="0.2">
      <c r="A134" s="114" t="str">
        <f>"   "&amp;Labels!B182</f>
        <v xml:space="preserve">   Catamarans</v>
      </c>
      <c r="B134" s="113"/>
      <c r="C134" s="69"/>
      <c r="D134" s="113"/>
      <c r="E134" s="113"/>
      <c r="F134" s="113"/>
      <c r="G134" s="113"/>
      <c r="H134" s="69"/>
      <c r="I134" s="113"/>
      <c r="J134" s="113"/>
      <c r="K134" s="113"/>
      <c r="L134" s="113"/>
      <c r="M134" s="69"/>
    </row>
    <row r="135" spans="1:13" ht="12.75" hidden="1" customHeight="1" outlineLevel="2" x14ac:dyDescent="0.2">
      <c r="A135" s="144" t="str">
        <f>"      "&amp;Labels!B190</f>
        <v xml:space="preserve">      Receivables</v>
      </c>
      <c r="B135" s="159">
        <f>Investment!B71</f>
        <v>0</v>
      </c>
      <c r="C135" s="69">
        <f>Investment!B71</f>
        <v>0</v>
      </c>
      <c r="D135" s="159">
        <f>Investment!D71</f>
        <v>0</v>
      </c>
      <c r="E135" s="159">
        <f>Investment!E71</f>
        <v>0</v>
      </c>
      <c r="F135" s="159">
        <f>Investment!F71</f>
        <v>0</v>
      </c>
      <c r="G135" s="159">
        <f>Investment!G71</f>
        <v>0</v>
      </c>
      <c r="H135" s="69">
        <f>Investment!G71</f>
        <v>0</v>
      </c>
      <c r="I135" s="159">
        <f>Investment!I71</f>
        <v>0</v>
      </c>
      <c r="J135" s="159">
        <f>Investment!J71</f>
        <v>0</v>
      </c>
      <c r="K135" s="159">
        <f>Investment!K71</f>
        <v>0</v>
      </c>
      <c r="L135" s="159">
        <f>Investment!L71</f>
        <v>0</v>
      </c>
      <c r="M135" s="69">
        <f>Investment!L71</f>
        <v>0</v>
      </c>
    </row>
    <row r="136" spans="1:13" ht="12.75" hidden="1" customHeight="1" outlineLevel="2" x14ac:dyDescent="0.2">
      <c r="A136" s="144" t="str">
        <f>"      "&amp;Labels!B191</f>
        <v xml:space="preserve">      Supplies inventory</v>
      </c>
      <c r="B136" s="159">
        <f>Investment!B72</f>
        <v>0</v>
      </c>
      <c r="C136" s="69">
        <f>Investment!B72</f>
        <v>0</v>
      </c>
      <c r="D136" s="159">
        <f>Investment!D72</f>
        <v>0</v>
      </c>
      <c r="E136" s="159">
        <f>Investment!E72</f>
        <v>0</v>
      </c>
      <c r="F136" s="159">
        <f>Investment!F72</f>
        <v>0</v>
      </c>
      <c r="G136" s="159">
        <f>Investment!G72</f>
        <v>0</v>
      </c>
      <c r="H136" s="69">
        <f>Investment!G72</f>
        <v>0</v>
      </c>
      <c r="I136" s="159">
        <f>Investment!I72</f>
        <v>0</v>
      </c>
      <c r="J136" s="159">
        <f>Investment!J72</f>
        <v>0</v>
      </c>
      <c r="K136" s="159">
        <f>Investment!K72</f>
        <v>0</v>
      </c>
      <c r="L136" s="159">
        <f>Investment!L72</f>
        <v>0</v>
      </c>
      <c r="M136" s="69">
        <f>Investment!L72</f>
        <v>0</v>
      </c>
    </row>
    <row r="137" spans="1:13" ht="12.75" hidden="1" customHeight="1" outlineLevel="2" x14ac:dyDescent="0.2">
      <c r="A137" s="114" t="str">
        <f>"      "&amp;Labels!C189</f>
        <v xml:space="preserve">      Total</v>
      </c>
      <c r="B137" s="113">
        <f>SUM(B135:B136)</f>
        <v>0</v>
      </c>
      <c r="C137" s="69">
        <f>SUM(B135:B136)</f>
        <v>0</v>
      </c>
      <c r="D137" s="113">
        <f>SUM(D135:D136)</f>
        <v>0</v>
      </c>
      <c r="E137" s="113">
        <f>SUM(E135:E136)</f>
        <v>0</v>
      </c>
      <c r="F137" s="113">
        <f>SUM(F135:F136)</f>
        <v>0</v>
      </c>
      <c r="G137" s="113">
        <f>SUM(G135:G136)</f>
        <v>0</v>
      </c>
      <c r="H137" s="69">
        <f>SUM(G135:G136)</f>
        <v>0</v>
      </c>
      <c r="I137" s="113">
        <f>SUM(I135:I136)</f>
        <v>0</v>
      </c>
      <c r="J137" s="113">
        <f>SUM(J135:J136)</f>
        <v>0</v>
      </c>
      <c r="K137" s="113">
        <f>SUM(K135:K136)</f>
        <v>0</v>
      </c>
      <c r="L137" s="113">
        <f>SUM(L135:L136)</f>
        <v>0</v>
      </c>
      <c r="M137" s="69">
        <f>SUM(L135:L136)</f>
        <v>0</v>
      </c>
    </row>
    <row r="138" spans="1:13" ht="12.75" hidden="1" customHeight="1" outlineLevel="2" x14ac:dyDescent="0.2">
      <c r="A138" s="114" t="str">
        <f>"   "&amp;Labels!B183</f>
        <v xml:space="preserve">   Canoes</v>
      </c>
      <c r="B138" s="113"/>
      <c r="C138" s="69"/>
      <c r="D138" s="113"/>
      <c r="E138" s="113"/>
      <c r="F138" s="113"/>
      <c r="G138" s="113"/>
      <c r="H138" s="69"/>
      <c r="I138" s="113"/>
      <c r="J138" s="113"/>
      <c r="K138" s="113"/>
      <c r="L138" s="113"/>
      <c r="M138" s="69"/>
    </row>
    <row r="139" spans="1:13" ht="12.75" hidden="1" customHeight="1" outlineLevel="2" x14ac:dyDescent="0.2">
      <c r="A139" s="144" t="str">
        <f>"      "&amp;Labels!B190</f>
        <v xml:space="preserve">      Receivables</v>
      </c>
      <c r="B139" s="159">
        <f>Investment!B75</f>
        <v>0</v>
      </c>
      <c r="C139" s="69">
        <f>Investment!B75</f>
        <v>0</v>
      </c>
      <c r="D139" s="159">
        <f>Investment!D75</f>
        <v>0</v>
      </c>
      <c r="E139" s="159">
        <f>Investment!E75</f>
        <v>0</v>
      </c>
      <c r="F139" s="159">
        <f>Investment!F75</f>
        <v>0</v>
      </c>
      <c r="G139" s="159">
        <f>Investment!G75</f>
        <v>0</v>
      </c>
      <c r="H139" s="69">
        <f>Investment!G75</f>
        <v>0</v>
      </c>
      <c r="I139" s="159">
        <f>Investment!I75</f>
        <v>0</v>
      </c>
      <c r="J139" s="159">
        <f>Investment!J75</f>
        <v>0</v>
      </c>
      <c r="K139" s="159">
        <f>Investment!K75</f>
        <v>0</v>
      </c>
      <c r="L139" s="159">
        <f>Investment!L75</f>
        <v>0</v>
      </c>
      <c r="M139" s="69">
        <f>Investment!L75</f>
        <v>0</v>
      </c>
    </row>
    <row r="140" spans="1:13" ht="12.75" hidden="1" customHeight="1" outlineLevel="2" x14ac:dyDescent="0.2">
      <c r="A140" s="144" t="str">
        <f>"      "&amp;Labels!B191</f>
        <v xml:space="preserve">      Supplies inventory</v>
      </c>
      <c r="B140" s="159">
        <f>Investment!B76</f>
        <v>0</v>
      </c>
      <c r="C140" s="69">
        <f>Investment!B76</f>
        <v>0</v>
      </c>
      <c r="D140" s="159">
        <f>Investment!D76</f>
        <v>0</v>
      </c>
      <c r="E140" s="159">
        <f>Investment!E76</f>
        <v>0</v>
      </c>
      <c r="F140" s="159">
        <f>Investment!F76</f>
        <v>0</v>
      </c>
      <c r="G140" s="159">
        <f>Investment!G76</f>
        <v>0</v>
      </c>
      <c r="H140" s="69">
        <f>Investment!G76</f>
        <v>0</v>
      </c>
      <c r="I140" s="159">
        <f>Investment!I76</f>
        <v>0</v>
      </c>
      <c r="J140" s="159">
        <f>Investment!J76</f>
        <v>0</v>
      </c>
      <c r="K140" s="159">
        <f>Investment!K76</f>
        <v>0</v>
      </c>
      <c r="L140" s="159">
        <f>Investment!L76</f>
        <v>0</v>
      </c>
      <c r="M140" s="69">
        <f>Investment!L76</f>
        <v>0</v>
      </c>
    </row>
    <row r="141" spans="1:13" ht="12.75" hidden="1" customHeight="1" outlineLevel="2" x14ac:dyDescent="0.2">
      <c r="A141" s="114" t="str">
        <f>"      "&amp;Labels!C189</f>
        <v xml:space="preserve">      Total</v>
      </c>
      <c r="B141" s="113">
        <f>SUM(B139:B140)</f>
        <v>0</v>
      </c>
      <c r="C141" s="69">
        <f>SUM(B139:B140)</f>
        <v>0</v>
      </c>
      <c r="D141" s="113">
        <f>SUM(D139:D140)</f>
        <v>0</v>
      </c>
      <c r="E141" s="113">
        <f>SUM(E139:E140)</f>
        <v>0</v>
      </c>
      <c r="F141" s="113">
        <f>SUM(F139:F140)</f>
        <v>0</v>
      </c>
      <c r="G141" s="113">
        <f>SUM(G139:G140)</f>
        <v>0</v>
      </c>
      <c r="H141" s="69">
        <f>SUM(G139:G140)</f>
        <v>0</v>
      </c>
      <c r="I141" s="113">
        <f>SUM(I139:I140)</f>
        <v>0</v>
      </c>
      <c r="J141" s="113">
        <f>SUM(J139:J140)</f>
        <v>0</v>
      </c>
      <c r="K141" s="113">
        <f>SUM(K139:K140)</f>
        <v>0</v>
      </c>
      <c r="L141" s="113">
        <f>SUM(L139:L140)</f>
        <v>0</v>
      </c>
      <c r="M141" s="69">
        <f>SUM(L139:L140)</f>
        <v>0</v>
      </c>
    </row>
    <row r="142" spans="1:13" ht="12.75" hidden="1" customHeight="1" outlineLevel="2" x14ac:dyDescent="0.2">
      <c r="A142" s="117" t="str">
        <f>"   "&amp;Labels!C181</f>
        <v xml:space="preserve">   Total</v>
      </c>
      <c r="B142" s="120">
        <f>SUM(B137,B141)</f>
        <v>0</v>
      </c>
      <c r="C142" s="69">
        <f>SUM(B137,B141)</f>
        <v>0</v>
      </c>
      <c r="D142" s="120">
        <f>SUM(D137,D141)</f>
        <v>0</v>
      </c>
      <c r="E142" s="120">
        <f>SUM(E137,E141)</f>
        <v>0</v>
      </c>
      <c r="F142" s="120">
        <f>SUM(F137,F141)</f>
        <v>0</v>
      </c>
      <c r="G142" s="120">
        <f>SUM(G137,G141)</f>
        <v>0</v>
      </c>
      <c r="H142" s="69">
        <f>SUM(G137,G141)</f>
        <v>0</v>
      </c>
      <c r="I142" s="120">
        <f>SUM(I137,I141)</f>
        <v>0</v>
      </c>
      <c r="J142" s="120">
        <f>SUM(J137,J141)</f>
        <v>0</v>
      </c>
      <c r="K142" s="120">
        <f>SUM(K137,K141)</f>
        <v>0</v>
      </c>
      <c r="L142" s="120">
        <f>SUM(L137,L141)</f>
        <v>0</v>
      </c>
      <c r="M142" s="69">
        <f>SUM(L137,L141)</f>
        <v>0</v>
      </c>
    </row>
    <row r="143" spans="1:13" ht="12.75" hidden="1" customHeight="1" outlineLevel="2" x14ac:dyDescent="0.2">
      <c r="A143" s="144" t="str">
        <f>"      "&amp;Labels!B190</f>
        <v xml:space="preserve">      Receivables</v>
      </c>
      <c r="B143" s="159">
        <f>SUM(B135,B139)</f>
        <v>0</v>
      </c>
      <c r="C143" s="69">
        <f>SUM(B135,B139)</f>
        <v>0</v>
      </c>
      <c r="D143" s="159">
        <f t="shared" ref="D143:G145" si="34">SUM(D135,D139)</f>
        <v>0</v>
      </c>
      <c r="E143" s="159">
        <f t="shared" si="34"/>
        <v>0</v>
      </c>
      <c r="F143" s="159">
        <f t="shared" si="34"/>
        <v>0</v>
      </c>
      <c r="G143" s="159">
        <f t="shared" si="34"/>
        <v>0</v>
      </c>
      <c r="H143" s="69">
        <f>SUM(G135,G139)</f>
        <v>0</v>
      </c>
      <c r="I143" s="159">
        <f t="shared" ref="I143:L145" si="35">SUM(I135,I139)</f>
        <v>0</v>
      </c>
      <c r="J143" s="159">
        <f t="shared" si="35"/>
        <v>0</v>
      </c>
      <c r="K143" s="159">
        <f t="shared" si="35"/>
        <v>0</v>
      </c>
      <c r="L143" s="159">
        <f t="shared" si="35"/>
        <v>0</v>
      </c>
      <c r="M143" s="69">
        <f>SUM(L135,L139)</f>
        <v>0</v>
      </c>
    </row>
    <row r="144" spans="1:13" ht="12.75" hidden="1" customHeight="1" outlineLevel="2" x14ac:dyDescent="0.2">
      <c r="A144" s="144" t="str">
        <f>"      "&amp;Labels!B191</f>
        <v xml:space="preserve">      Supplies inventory</v>
      </c>
      <c r="B144" s="159">
        <f>SUM(B136,B140)</f>
        <v>0</v>
      </c>
      <c r="C144" s="69">
        <f>SUM(B136,B140)</f>
        <v>0</v>
      </c>
      <c r="D144" s="159">
        <f t="shared" si="34"/>
        <v>0</v>
      </c>
      <c r="E144" s="159">
        <f t="shared" si="34"/>
        <v>0</v>
      </c>
      <c r="F144" s="159">
        <f t="shared" si="34"/>
        <v>0</v>
      </c>
      <c r="G144" s="159">
        <f t="shared" si="34"/>
        <v>0</v>
      </c>
      <c r="H144" s="69">
        <f>SUM(G136,G140)</f>
        <v>0</v>
      </c>
      <c r="I144" s="159">
        <f t="shared" si="35"/>
        <v>0</v>
      </c>
      <c r="J144" s="159">
        <f t="shared" si="35"/>
        <v>0</v>
      </c>
      <c r="K144" s="159">
        <f t="shared" si="35"/>
        <v>0</v>
      </c>
      <c r="L144" s="159">
        <f t="shared" si="35"/>
        <v>0</v>
      </c>
      <c r="M144" s="69">
        <f>SUM(L136,L140)</f>
        <v>0</v>
      </c>
    </row>
    <row r="145" spans="1:13" ht="12.75" hidden="1" customHeight="1" outlineLevel="2" x14ac:dyDescent="0.2">
      <c r="A145" s="145" t="str">
        <f>"      "&amp;Labels!C189</f>
        <v xml:space="preserve">      Total</v>
      </c>
      <c r="B145" s="123">
        <f>SUM(B137,B141)</f>
        <v>0</v>
      </c>
      <c r="C145" s="70">
        <f>SUM(B137,B141)</f>
        <v>0</v>
      </c>
      <c r="D145" s="123">
        <f t="shared" si="34"/>
        <v>0</v>
      </c>
      <c r="E145" s="123">
        <f t="shared" si="34"/>
        <v>0</v>
      </c>
      <c r="F145" s="123">
        <f t="shared" si="34"/>
        <v>0</v>
      </c>
      <c r="G145" s="123">
        <f t="shared" si="34"/>
        <v>0</v>
      </c>
      <c r="H145" s="70">
        <f>SUM(G137,G141)</f>
        <v>0</v>
      </c>
      <c r="I145" s="123">
        <f t="shared" si="35"/>
        <v>0</v>
      </c>
      <c r="J145" s="123">
        <f t="shared" si="35"/>
        <v>0</v>
      </c>
      <c r="K145" s="123">
        <f t="shared" si="35"/>
        <v>0</v>
      </c>
      <c r="L145" s="123">
        <f t="shared" si="35"/>
        <v>0</v>
      </c>
      <c r="M145" s="70">
        <f>SUM(L137,L141)</f>
        <v>0</v>
      </c>
    </row>
    <row r="146" spans="1:13" ht="12.75" hidden="1" customHeight="1" outlineLevel="2" collapsed="1" x14ac:dyDescent="0.2"/>
    <row r="147" spans="1:13" ht="12.75" hidden="1" customHeight="1" outlineLevel="1" collapsed="1" x14ac:dyDescent="0.2"/>
    <row r="148" spans="1:13" ht="12.75" customHeight="1" collapsed="1" x14ac:dyDescent="0.2"/>
    <row r="150" spans="1:13" ht="12.75" customHeight="1" x14ac:dyDescent="0.2">
      <c r="A150" s="2" t="str">
        <f>"Valuation"</f>
        <v>Valuation</v>
      </c>
    </row>
    <row r="151" spans="1:13" ht="12.75" hidden="1" customHeight="1" outlineLevel="1" x14ac:dyDescent="0.2">
      <c r="A151" s="2" t="str">
        <f>""</f>
        <v/>
      </c>
    </row>
    <row r="152" spans="1:13" ht="12.75" hidden="1" customHeight="1" outlineLevel="1" x14ac:dyDescent="0.2">
      <c r="B152" s="17" t="str">
        <f>'(FnCalls 1)'!G6</f>
        <v>Q4 2010</v>
      </c>
      <c r="C152" s="62" t="str">
        <f>'(FnCalls 1)'!H4</f>
        <v>2010</v>
      </c>
      <c r="D152" s="18" t="str">
        <f>'(FnCalls 1)'!G7</f>
        <v>Q1 2011</v>
      </c>
      <c r="E152" s="18" t="str">
        <f>'(FnCalls 1)'!G8</f>
        <v>Q2 2011</v>
      </c>
      <c r="F152" s="18" t="str">
        <f>'(FnCalls 1)'!G9</f>
        <v>Q3 2011</v>
      </c>
      <c r="G152" s="18" t="str">
        <f>'(FnCalls 1)'!G10</f>
        <v>Q4 2011</v>
      </c>
      <c r="H152" s="62" t="str">
        <f>'(FnCalls 1)'!H7</f>
        <v>2011</v>
      </c>
      <c r="I152" s="18" t="str">
        <f>'(FnCalls 1)'!G11</f>
        <v>Q1 2012</v>
      </c>
      <c r="J152" s="18" t="str">
        <f>'(FnCalls 1)'!G12</f>
        <v>Q2 2012</v>
      </c>
      <c r="K152" s="18" t="str">
        <f>'(FnCalls 1)'!G13</f>
        <v>Q3 2012</v>
      </c>
      <c r="L152" s="18" t="str">
        <f>'(FnCalls 1)'!G14</f>
        <v>Q4 2012</v>
      </c>
      <c r="M152" s="62" t="str">
        <f>'(FnCalls 1)'!H11</f>
        <v>2012</v>
      </c>
    </row>
    <row r="153" spans="1:13" ht="12.75" hidden="1" customHeight="1" outlineLevel="1" x14ac:dyDescent="0.2">
      <c r="A153" s="111" t="str">
        <f>Labels!B124</f>
        <v>Valuation</v>
      </c>
      <c r="B153" s="110"/>
      <c r="C153" s="75"/>
      <c r="D153" s="110"/>
      <c r="E153" s="110"/>
      <c r="F153" s="110"/>
      <c r="G153" s="110"/>
      <c r="H153" s="75"/>
      <c r="I153" s="110"/>
      <c r="J153" s="110"/>
      <c r="K153" s="110"/>
      <c r="L153" s="110"/>
      <c r="M153" s="75"/>
    </row>
    <row r="154" spans="1:13" ht="12.75" hidden="1" customHeight="1" outlineLevel="1" x14ac:dyDescent="0.2">
      <c r="A154" s="114" t="str">
        <f>"   "&amp;Labels!B182</f>
        <v xml:space="preserve">   Catamarans</v>
      </c>
      <c r="B154" s="113">
        <f>'Blended Fin'!B9+B9+D154/(1+'(Tables)'!D274)</f>
        <v>0</v>
      </c>
      <c r="C154" s="69">
        <f>B154</f>
        <v>0</v>
      </c>
      <c r="D154" s="113">
        <f>0+D9+E154/(1+'(Tables)'!E274)</f>
        <v>0</v>
      </c>
      <c r="E154" s="113">
        <f>0+E9+F154/(1+'(Tables)'!F274)</f>
        <v>0</v>
      </c>
      <c r="F154" s="113">
        <f>0+F9+G154/(1+'(Tables)'!G274)</f>
        <v>0</v>
      </c>
      <c r="G154" s="113">
        <f>0+G9+I154/(1+'(Tables)'!I274)</f>
        <v>0</v>
      </c>
      <c r="H154" s="69">
        <f>G154</f>
        <v>0</v>
      </c>
      <c r="I154" s="113">
        <f>0+I9+J154/(1+'(Tables)'!J274)</f>
        <v>0</v>
      </c>
      <c r="J154" s="113">
        <f>0+J9+K154/(1+'(Tables)'!K274)</f>
        <v>0</v>
      </c>
      <c r="K154" s="113">
        <f>0+K9+L154/(1+'(Tables)'!L274)</f>
        <v>0</v>
      </c>
      <c r="L154" s="113">
        <f>0+L9+'(Tables)'!B246</f>
        <v>0</v>
      </c>
      <c r="M154" s="69">
        <f>L154</f>
        <v>0</v>
      </c>
    </row>
    <row r="155" spans="1:13" ht="12.75" hidden="1" customHeight="1" outlineLevel="1" x14ac:dyDescent="0.2">
      <c r="A155" s="114" t="str">
        <f>"   "&amp;Labels!B183</f>
        <v xml:space="preserve">   Canoes</v>
      </c>
      <c r="B155" s="113">
        <f>'Blended Fin'!B10+B10+D155/(1+'(Tables)'!D275)</f>
        <v>0</v>
      </c>
      <c r="C155" s="69">
        <f>B155</f>
        <v>0</v>
      </c>
      <c r="D155" s="113">
        <f>0+D10+E155/(1+'(Tables)'!E275)</f>
        <v>0</v>
      </c>
      <c r="E155" s="113">
        <f>0+E10+F155/(1+'(Tables)'!F275)</f>
        <v>0</v>
      </c>
      <c r="F155" s="113">
        <f>0+F10+G155/(1+'(Tables)'!G275)</f>
        <v>0</v>
      </c>
      <c r="G155" s="113">
        <f>0+G10+I155/(1+'(Tables)'!I275)</f>
        <v>0</v>
      </c>
      <c r="H155" s="69">
        <f>G155</f>
        <v>0</v>
      </c>
      <c r="I155" s="113">
        <f>0+I10+J155/(1+'(Tables)'!J275)</f>
        <v>0</v>
      </c>
      <c r="J155" s="113">
        <f>0+J10+K155/(1+'(Tables)'!K275)</f>
        <v>0</v>
      </c>
      <c r="K155" s="113">
        <f>0+K10+L155/(1+'(Tables)'!L275)</f>
        <v>0</v>
      </c>
      <c r="L155" s="113">
        <f>0+L10+'(Tables)'!B247</f>
        <v>0</v>
      </c>
      <c r="M155" s="69">
        <f>L155</f>
        <v>0</v>
      </c>
    </row>
    <row r="156" spans="1:13" ht="12.75" hidden="1" customHeight="1" outlineLevel="1" x14ac:dyDescent="0.2">
      <c r="A156" s="117" t="str">
        <f>"   "&amp;Labels!C181</f>
        <v xml:space="preserve">   Total</v>
      </c>
      <c r="B156" s="120">
        <f>SUM(B154:B155)</f>
        <v>0</v>
      </c>
      <c r="C156" s="69">
        <f>SUM(B154:B155)</f>
        <v>0</v>
      </c>
      <c r="D156" s="120">
        <f>SUM(D154:D155)</f>
        <v>0</v>
      </c>
      <c r="E156" s="120">
        <f>SUM(E154:E155)</f>
        <v>0</v>
      </c>
      <c r="F156" s="120">
        <f>SUM(F154:F155)</f>
        <v>0</v>
      </c>
      <c r="G156" s="120">
        <f>SUM(G154:G155)</f>
        <v>0</v>
      </c>
      <c r="H156" s="69">
        <f>SUM(G154:G155)</f>
        <v>0</v>
      </c>
      <c r="I156" s="120">
        <f>SUM(I154:I155)</f>
        <v>0</v>
      </c>
      <c r="J156" s="120">
        <f>SUM(J154:J155)</f>
        <v>0</v>
      </c>
      <c r="K156" s="120">
        <f>SUM(K154:K155)</f>
        <v>0</v>
      </c>
      <c r="L156" s="120">
        <f>SUM(L154:L155)</f>
        <v>0</v>
      </c>
      <c r="M156" s="69">
        <f>SUM(L154:L155)</f>
        <v>0</v>
      </c>
    </row>
    <row r="157" spans="1:13" ht="12.75" hidden="1" customHeight="1" outlineLevel="1" x14ac:dyDescent="0.2">
      <c r="A157" s="12"/>
      <c r="B157" s="10"/>
      <c r="C157" s="12"/>
      <c r="D157" s="10"/>
      <c r="E157" s="10"/>
      <c r="F157" s="10"/>
      <c r="G157" s="10"/>
      <c r="H157" s="12"/>
      <c r="I157" s="10"/>
      <c r="J157" s="10"/>
      <c r="K157" s="10"/>
      <c r="L157" s="10"/>
      <c r="M157" s="12"/>
    </row>
    <row r="158" spans="1:13" ht="12.75" hidden="1" customHeight="1" outlineLevel="1" x14ac:dyDescent="0.2">
      <c r="B158" s="17" t="str">
        <f>Labels!B145</f>
        <v>EBITDA</v>
      </c>
      <c r="C158" s="18" t="str">
        <f>Labels!B146</f>
        <v>Fixed Invest</v>
      </c>
      <c r="D158" s="18" t="str">
        <f>Labels!B147</f>
        <v>Inv Tax Credit</v>
      </c>
      <c r="E158" s="18" t="str">
        <f>Labels!B148</f>
        <v>Working Cap</v>
      </c>
      <c r="F158" s="18" t="str">
        <f>Labels!B149</f>
        <v>Income Tax</v>
      </c>
      <c r="G158" s="62" t="str">
        <f>Labels!C144</f>
        <v>Total</v>
      </c>
    </row>
    <row r="159" spans="1:13" ht="12.75" hidden="1" customHeight="1" outlineLevel="1" x14ac:dyDescent="0.2">
      <c r="A159" s="111" t="str">
        <f>Labels!B93</f>
        <v>NPV Equity Financing</v>
      </c>
      <c r="B159" s="110"/>
      <c r="C159" s="110"/>
      <c r="D159" s="110"/>
      <c r="E159" s="110"/>
      <c r="F159" s="110"/>
      <c r="G159" s="75"/>
    </row>
    <row r="160" spans="1:13" ht="12.75" hidden="1" customHeight="1" outlineLevel="1" x14ac:dyDescent="0.2">
      <c r="A160" s="114" t="str">
        <f>"   "&amp;Labels!B182</f>
        <v xml:space="preserve">   Catamarans</v>
      </c>
      <c r="B160" s="113">
        <f>SUM(B174,D174:G174,I174:L174)</f>
        <v>0</v>
      </c>
      <c r="C160" s="113">
        <f>SUM(B178,D178:G178,I178:L178)</f>
        <v>0</v>
      </c>
      <c r="D160" s="113">
        <f>SUM(B182,D182:G182,I182:L182)</f>
        <v>0</v>
      </c>
      <c r="E160" s="113">
        <f>SUM(B186,D186:G186,I186:L186)</f>
        <v>0</v>
      </c>
      <c r="F160" s="113">
        <f>SUM(B190,D190:G190,I190:L190)</f>
        <v>0</v>
      </c>
      <c r="G160" s="69">
        <f>SUM(B160:F160)</f>
        <v>0</v>
      </c>
    </row>
    <row r="161" spans="1:13" ht="12.75" hidden="1" customHeight="1" outlineLevel="1" x14ac:dyDescent="0.2">
      <c r="A161" s="114" t="str">
        <f>"   "&amp;Labels!B183</f>
        <v xml:space="preserve">   Canoes</v>
      </c>
      <c r="B161" s="113">
        <f>SUM(B175,D175:G175,I175:L175)</f>
        <v>0</v>
      </c>
      <c r="C161" s="113">
        <f>SUM(B179,D179:G179,I179:L179)</f>
        <v>0</v>
      </c>
      <c r="D161" s="113">
        <f>SUM(B183,D183:G183,I183:L183)</f>
        <v>0</v>
      </c>
      <c r="E161" s="113">
        <f>SUM(B187,D187:G187,I187:L187)</f>
        <v>0</v>
      </c>
      <c r="F161" s="113">
        <f>SUM(B191,D191:G191,I191:L191)</f>
        <v>0</v>
      </c>
      <c r="G161" s="69">
        <f>SUM(B161:F161)</f>
        <v>0</v>
      </c>
    </row>
    <row r="162" spans="1:13" ht="12.75" hidden="1" customHeight="1" outlineLevel="1" x14ac:dyDescent="0.2">
      <c r="A162" s="117" t="str">
        <f>"   "&amp;Labels!C181</f>
        <v xml:space="preserve">   Total</v>
      </c>
      <c r="B162" s="120">
        <f t="shared" ref="B162:G162" si="36">SUM(B160:B161)</f>
        <v>0</v>
      </c>
      <c r="C162" s="120">
        <f t="shared" si="36"/>
        <v>0</v>
      </c>
      <c r="D162" s="120">
        <f t="shared" si="36"/>
        <v>0</v>
      </c>
      <c r="E162" s="120">
        <f t="shared" si="36"/>
        <v>0</v>
      </c>
      <c r="F162" s="120">
        <f t="shared" si="36"/>
        <v>0</v>
      </c>
      <c r="G162" s="69">
        <f t="shared" si="36"/>
        <v>0</v>
      </c>
    </row>
    <row r="163" spans="1:13" ht="12.75" hidden="1" customHeight="1" outlineLevel="1" x14ac:dyDescent="0.2">
      <c r="A163" s="12"/>
      <c r="B163" s="10"/>
      <c r="C163" s="10"/>
      <c r="D163" s="10"/>
      <c r="E163" s="10"/>
      <c r="F163" s="10"/>
      <c r="G163" s="12"/>
    </row>
    <row r="164" spans="1:13" ht="12.75" hidden="1" customHeight="1" outlineLevel="1" x14ac:dyDescent="0.2">
      <c r="A164" s="111" t="str">
        <f>Labels!B119</f>
        <v>Tail NPV</v>
      </c>
      <c r="B164" s="75"/>
    </row>
    <row r="165" spans="1:13" ht="12.75" hidden="1" customHeight="1" outlineLevel="1" x14ac:dyDescent="0.2">
      <c r="A165" s="114" t="str">
        <f>"   "&amp;Labels!B182</f>
        <v xml:space="preserve">   Catamarans</v>
      </c>
      <c r="B165" s="69">
        <f>'(Tables)'!B246*'(Tables)'!L279</f>
        <v>0</v>
      </c>
    </row>
    <row r="166" spans="1:13" ht="12.75" hidden="1" customHeight="1" outlineLevel="1" x14ac:dyDescent="0.2">
      <c r="A166" s="114" t="str">
        <f>"   "&amp;Labels!B183</f>
        <v xml:space="preserve">   Canoes</v>
      </c>
      <c r="B166" s="69">
        <f>'(Tables)'!B247*'(Tables)'!L279</f>
        <v>0</v>
      </c>
    </row>
    <row r="167" spans="1:13" ht="12.75" hidden="1" customHeight="1" outlineLevel="1" x14ac:dyDescent="0.2">
      <c r="A167" s="121" t="str">
        <f>"   "&amp;Labels!C181</f>
        <v xml:space="preserve">   Total</v>
      </c>
      <c r="B167" s="70">
        <f>SUM(B165:B166)</f>
        <v>0</v>
      </c>
    </row>
    <row r="168" spans="1:13" ht="12.75" hidden="1" customHeight="1" outlineLevel="1" x14ac:dyDescent="0.2"/>
    <row r="169" spans="1:13" ht="12.75" hidden="1" customHeight="1" outlineLevel="1" x14ac:dyDescent="0.2">
      <c r="A169" s="272" t="str">
        <f>"Discounted Cash Flow"</f>
        <v>Discounted Cash Flow</v>
      </c>
      <c r="B169" s="272"/>
    </row>
    <row r="170" spans="1:13" ht="12.75" hidden="1" customHeight="1" outlineLevel="2" x14ac:dyDescent="0.2">
      <c r="A170" s="272" t="str">
        <f>" "</f>
        <v xml:space="preserve"> </v>
      </c>
      <c r="B170" s="272"/>
    </row>
    <row r="171" spans="1:13" ht="12.75" hidden="1" customHeight="1" outlineLevel="2" x14ac:dyDescent="0.2">
      <c r="B171" s="17" t="str">
        <f>'(FnCalls 1)'!G6</f>
        <v>Q4 2010</v>
      </c>
      <c r="C171" s="62" t="str">
        <f>'(FnCalls 1)'!H4</f>
        <v>2010</v>
      </c>
      <c r="D171" s="18" t="str">
        <f>'(FnCalls 1)'!G7</f>
        <v>Q1 2011</v>
      </c>
      <c r="E171" s="18" t="str">
        <f>'(FnCalls 1)'!G8</f>
        <v>Q2 2011</v>
      </c>
      <c r="F171" s="18" t="str">
        <f>'(FnCalls 1)'!G9</f>
        <v>Q3 2011</v>
      </c>
      <c r="G171" s="18" t="str">
        <f>'(FnCalls 1)'!G10</f>
        <v>Q4 2011</v>
      </c>
      <c r="H171" s="62" t="str">
        <f>'(FnCalls 1)'!H7</f>
        <v>2011</v>
      </c>
      <c r="I171" s="18" t="str">
        <f>'(FnCalls 1)'!G11</f>
        <v>Q1 2012</v>
      </c>
      <c r="J171" s="18" t="str">
        <f>'(FnCalls 1)'!G12</f>
        <v>Q2 2012</v>
      </c>
      <c r="K171" s="18" t="str">
        <f>'(FnCalls 1)'!G13</f>
        <v>Q3 2012</v>
      </c>
      <c r="L171" s="18" t="str">
        <f>'(FnCalls 1)'!G14</f>
        <v>Q4 2012</v>
      </c>
      <c r="M171" s="62" t="str">
        <f>'(FnCalls 1)'!H11</f>
        <v>2012</v>
      </c>
    </row>
    <row r="172" spans="1:13" ht="12.75" hidden="1" customHeight="1" outlineLevel="2" x14ac:dyDescent="0.2">
      <c r="A172" s="111" t="str">
        <f>Labels!B28</f>
        <v>DCF - Equity Fin</v>
      </c>
      <c r="B172" s="110"/>
      <c r="C172" s="75"/>
      <c r="D172" s="110"/>
      <c r="E172" s="110"/>
      <c r="F172" s="110"/>
      <c r="G172" s="110"/>
      <c r="H172" s="75"/>
      <c r="I172" s="110"/>
      <c r="J172" s="110"/>
      <c r="K172" s="110"/>
      <c r="L172" s="110"/>
      <c r="M172" s="75"/>
    </row>
    <row r="173" spans="1:13" ht="12.75" hidden="1" customHeight="1" outlineLevel="2" x14ac:dyDescent="0.2">
      <c r="A173" s="114" t="str">
        <f>"   "&amp;Labels!B145</f>
        <v xml:space="preserve">   EBITDA</v>
      </c>
      <c r="B173" s="113"/>
      <c r="C173" s="69"/>
      <c r="D173" s="113"/>
      <c r="E173" s="113"/>
      <c r="F173" s="113"/>
      <c r="G173" s="113"/>
      <c r="H173" s="69"/>
      <c r="I173" s="113"/>
      <c r="J173" s="113"/>
      <c r="K173" s="113"/>
      <c r="L173" s="113"/>
      <c r="M173" s="69"/>
    </row>
    <row r="174" spans="1:13" ht="12.75" hidden="1" customHeight="1" outlineLevel="2" x14ac:dyDescent="0.2">
      <c r="A174" s="144" t="str">
        <f>"      "&amp;Labels!B182</f>
        <v xml:space="preserve">      Catamarans</v>
      </c>
      <c r="B174" s="159">
        <f>B18*'(Tables)'!B279</f>
        <v>0</v>
      </c>
      <c r="C174" s="69">
        <f>B174</f>
        <v>0</v>
      </c>
      <c r="D174" s="159">
        <f>D18*'(Tables)'!D279</f>
        <v>0</v>
      </c>
      <c r="E174" s="159">
        <f>E18*'(Tables)'!E279</f>
        <v>0</v>
      </c>
      <c r="F174" s="159">
        <f>F18*'(Tables)'!F279</f>
        <v>0</v>
      </c>
      <c r="G174" s="159">
        <f>G18*'(Tables)'!G279</f>
        <v>0</v>
      </c>
      <c r="H174" s="69">
        <f>SUM(D174:G174)</f>
        <v>0</v>
      </c>
      <c r="I174" s="159">
        <f>I18*'(Tables)'!I279</f>
        <v>0</v>
      </c>
      <c r="J174" s="159">
        <f>J18*'(Tables)'!J279</f>
        <v>0</v>
      </c>
      <c r="K174" s="159">
        <f>K18*'(Tables)'!K279</f>
        <v>0</v>
      </c>
      <c r="L174" s="159">
        <f>L18*'(Tables)'!L279</f>
        <v>0</v>
      </c>
      <c r="M174" s="69">
        <f>SUM(I174:L174)</f>
        <v>0</v>
      </c>
    </row>
    <row r="175" spans="1:13" ht="12.75" hidden="1" customHeight="1" outlineLevel="2" x14ac:dyDescent="0.2">
      <c r="A175" s="144" t="str">
        <f>"      "&amp;Labels!B183</f>
        <v xml:space="preserve">      Canoes</v>
      </c>
      <c r="B175" s="159">
        <f>B25*'(Tables)'!B279</f>
        <v>0</v>
      </c>
      <c r="C175" s="69">
        <f>B175</f>
        <v>0</v>
      </c>
      <c r="D175" s="159">
        <f>D25*'(Tables)'!D279</f>
        <v>0</v>
      </c>
      <c r="E175" s="159">
        <f>E25*'(Tables)'!E279</f>
        <v>0</v>
      </c>
      <c r="F175" s="159">
        <f>F25*'(Tables)'!F279</f>
        <v>0</v>
      </c>
      <c r="G175" s="159">
        <f>G25*'(Tables)'!G279</f>
        <v>0</v>
      </c>
      <c r="H175" s="69">
        <f>SUM(D175:G175)</f>
        <v>0</v>
      </c>
      <c r="I175" s="159">
        <f>I25*'(Tables)'!I279</f>
        <v>0</v>
      </c>
      <c r="J175" s="159">
        <f>J25*'(Tables)'!J279</f>
        <v>0</v>
      </c>
      <c r="K175" s="159">
        <f>K25*'(Tables)'!K279</f>
        <v>0</v>
      </c>
      <c r="L175" s="159">
        <f>L25*'(Tables)'!L279</f>
        <v>0</v>
      </c>
      <c r="M175" s="69">
        <f>SUM(I175:L175)</f>
        <v>0</v>
      </c>
    </row>
    <row r="176" spans="1:13" ht="12.75" hidden="1" customHeight="1" outlineLevel="2" x14ac:dyDescent="0.2">
      <c r="A176" s="114" t="str">
        <f>"      "&amp;Labels!C181</f>
        <v xml:space="preserve">      Total</v>
      </c>
      <c r="B176" s="113">
        <f>SUM(B174:B175)</f>
        <v>0</v>
      </c>
      <c r="C176" s="69">
        <f>SUM(B174:B175)</f>
        <v>0</v>
      </c>
      <c r="D176" s="113">
        <f>SUM(D174:D175)</f>
        <v>0</v>
      </c>
      <c r="E176" s="113">
        <f>SUM(E174:E175)</f>
        <v>0</v>
      </c>
      <c r="F176" s="113">
        <f>SUM(F174:F175)</f>
        <v>0</v>
      </c>
      <c r="G176" s="113">
        <f>SUM(G174:G175)</f>
        <v>0</v>
      </c>
      <c r="H176" s="69">
        <f>SUM(D176:G176)</f>
        <v>0</v>
      </c>
      <c r="I176" s="113">
        <f>SUM(I174:I175)</f>
        <v>0</v>
      </c>
      <c r="J176" s="113">
        <f>SUM(J174:J175)</f>
        <v>0</v>
      </c>
      <c r="K176" s="113">
        <f>SUM(K174:K175)</f>
        <v>0</v>
      </c>
      <c r="L176" s="113">
        <f>SUM(L174:L175)</f>
        <v>0</v>
      </c>
      <c r="M176" s="69">
        <f>SUM(I176:L176)</f>
        <v>0</v>
      </c>
    </row>
    <row r="177" spans="1:13" ht="12.75" hidden="1" customHeight="1" outlineLevel="2" x14ac:dyDescent="0.2">
      <c r="A177" s="114" t="str">
        <f>"   "&amp;Labels!B146</f>
        <v xml:space="preserve">   Fixed Invest</v>
      </c>
      <c r="B177" s="113"/>
      <c r="C177" s="69"/>
      <c r="D177" s="113"/>
      <c r="E177" s="113"/>
      <c r="F177" s="113"/>
      <c r="G177" s="113"/>
      <c r="H177" s="69"/>
      <c r="I177" s="113"/>
      <c r="J177" s="113"/>
      <c r="K177" s="113"/>
      <c r="L177" s="113"/>
      <c r="M177" s="69"/>
    </row>
    <row r="178" spans="1:13" ht="12.75" hidden="1" customHeight="1" outlineLevel="2" x14ac:dyDescent="0.2">
      <c r="A178" s="144" t="str">
        <f>"      "&amp;Labels!B182</f>
        <v xml:space="preserve">      Catamarans</v>
      </c>
      <c r="B178" s="159">
        <f>B19*'(Tables)'!B279</f>
        <v>0</v>
      </c>
      <c r="C178" s="69">
        <f>B178</f>
        <v>0</v>
      </c>
      <c r="D178" s="159">
        <f>D19*'(Tables)'!D279</f>
        <v>0</v>
      </c>
      <c r="E178" s="159">
        <f>E19*'(Tables)'!E279</f>
        <v>0</v>
      </c>
      <c r="F178" s="159">
        <f>F19*'(Tables)'!F279</f>
        <v>0</v>
      </c>
      <c r="G178" s="159">
        <f>G19*'(Tables)'!G279</f>
        <v>0</v>
      </c>
      <c r="H178" s="69">
        <f>SUM(D178:G178)</f>
        <v>0</v>
      </c>
      <c r="I178" s="159">
        <f>I19*'(Tables)'!I279</f>
        <v>0</v>
      </c>
      <c r="J178" s="159">
        <f>J19*'(Tables)'!J279</f>
        <v>0</v>
      </c>
      <c r="K178" s="159">
        <f>K19*'(Tables)'!K279</f>
        <v>0</v>
      </c>
      <c r="L178" s="159">
        <f>L19*'(Tables)'!L279</f>
        <v>0</v>
      </c>
      <c r="M178" s="69">
        <f>SUM(I178:L178)</f>
        <v>0</v>
      </c>
    </row>
    <row r="179" spans="1:13" ht="12.75" hidden="1" customHeight="1" outlineLevel="2" x14ac:dyDescent="0.2">
      <c r="A179" s="144" t="str">
        <f>"      "&amp;Labels!B183</f>
        <v xml:space="preserve">      Canoes</v>
      </c>
      <c r="B179" s="159">
        <f>B26*'(Tables)'!B279</f>
        <v>0</v>
      </c>
      <c r="C179" s="69">
        <f>B179</f>
        <v>0</v>
      </c>
      <c r="D179" s="159">
        <f>D26*'(Tables)'!D279</f>
        <v>0</v>
      </c>
      <c r="E179" s="159">
        <f>E26*'(Tables)'!E279</f>
        <v>0</v>
      </c>
      <c r="F179" s="159">
        <f>F26*'(Tables)'!F279</f>
        <v>0</v>
      </c>
      <c r="G179" s="159">
        <f>G26*'(Tables)'!G279</f>
        <v>0</v>
      </c>
      <c r="H179" s="69">
        <f>SUM(D179:G179)</f>
        <v>0</v>
      </c>
      <c r="I179" s="159">
        <f>I26*'(Tables)'!I279</f>
        <v>0</v>
      </c>
      <c r="J179" s="159">
        <f>J26*'(Tables)'!J279</f>
        <v>0</v>
      </c>
      <c r="K179" s="159">
        <f>K26*'(Tables)'!K279</f>
        <v>0</v>
      </c>
      <c r="L179" s="159">
        <f>L26*'(Tables)'!L279</f>
        <v>0</v>
      </c>
      <c r="M179" s="69">
        <f>SUM(I179:L179)</f>
        <v>0</v>
      </c>
    </row>
    <row r="180" spans="1:13" ht="12.75" hidden="1" customHeight="1" outlineLevel="2" x14ac:dyDescent="0.2">
      <c r="A180" s="114" t="str">
        <f>"      "&amp;Labels!C181</f>
        <v xml:space="preserve">      Total</v>
      </c>
      <c r="B180" s="113">
        <f>SUM(B178:B179)</f>
        <v>0</v>
      </c>
      <c r="C180" s="69">
        <f>SUM(B178:B179)</f>
        <v>0</v>
      </c>
      <c r="D180" s="113">
        <f>SUM(D178:D179)</f>
        <v>0</v>
      </c>
      <c r="E180" s="113">
        <f>SUM(E178:E179)</f>
        <v>0</v>
      </c>
      <c r="F180" s="113">
        <f>SUM(F178:F179)</f>
        <v>0</v>
      </c>
      <c r="G180" s="113">
        <f>SUM(G178:G179)</f>
        <v>0</v>
      </c>
      <c r="H180" s="69">
        <f>SUM(D180:G180)</f>
        <v>0</v>
      </c>
      <c r="I180" s="113">
        <f>SUM(I178:I179)</f>
        <v>0</v>
      </c>
      <c r="J180" s="113">
        <f>SUM(J178:J179)</f>
        <v>0</v>
      </c>
      <c r="K180" s="113">
        <f>SUM(K178:K179)</f>
        <v>0</v>
      </c>
      <c r="L180" s="113">
        <f>SUM(L178:L179)</f>
        <v>0</v>
      </c>
      <c r="M180" s="69">
        <f>SUM(I180:L180)</f>
        <v>0</v>
      </c>
    </row>
    <row r="181" spans="1:13" ht="12.75" hidden="1" customHeight="1" outlineLevel="2" x14ac:dyDescent="0.2">
      <c r="A181" s="114" t="str">
        <f>"   "&amp;Labels!B147</f>
        <v xml:space="preserve">   Inv Tax Credit</v>
      </c>
      <c r="B181" s="113"/>
      <c r="C181" s="69"/>
      <c r="D181" s="113"/>
      <c r="E181" s="113"/>
      <c r="F181" s="113"/>
      <c r="G181" s="113"/>
      <c r="H181" s="69"/>
      <c r="I181" s="113"/>
      <c r="J181" s="113"/>
      <c r="K181" s="113"/>
      <c r="L181" s="113"/>
      <c r="M181" s="69"/>
    </row>
    <row r="182" spans="1:13" ht="12.75" hidden="1" customHeight="1" outlineLevel="2" x14ac:dyDescent="0.2">
      <c r="A182" s="144" t="str">
        <f>"      "&amp;Labels!B182</f>
        <v xml:space="preserve">      Catamarans</v>
      </c>
      <c r="B182" s="159">
        <f>B20*'(Tables)'!B279</f>
        <v>0</v>
      </c>
      <c r="C182" s="69">
        <f>B182</f>
        <v>0</v>
      </c>
      <c r="D182" s="159">
        <f>D20*'(Tables)'!D279</f>
        <v>0</v>
      </c>
      <c r="E182" s="159">
        <f>E20*'(Tables)'!E279</f>
        <v>0</v>
      </c>
      <c r="F182" s="159">
        <f>F20*'(Tables)'!F279</f>
        <v>0</v>
      </c>
      <c r="G182" s="159">
        <f>G20*'(Tables)'!G279</f>
        <v>0</v>
      </c>
      <c r="H182" s="69">
        <f>SUM(D182:G182)</f>
        <v>0</v>
      </c>
      <c r="I182" s="159">
        <f>I20*'(Tables)'!I279</f>
        <v>0</v>
      </c>
      <c r="J182" s="159">
        <f>J20*'(Tables)'!J279</f>
        <v>0</v>
      </c>
      <c r="K182" s="159">
        <f>K20*'(Tables)'!K279</f>
        <v>0</v>
      </c>
      <c r="L182" s="159">
        <f>L20*'(Tables)'!L279</f>
        <v>0</v>
      </c>
      <c r="M182" s="69">
        <f>SUM(I182:L182)</f>
        <v>0</v>
      </c>
    </row>
    <row r="183" spans="1:13" ht="12.75" hidden="1" customHeight="1" outlineLevel="2" x14ac:dyDescent="0.2">
      <c r="A183" s="144" t="str">
        <f>"      "&amp;Labels!B183</f>
        <v xml:space="preserve">      Canoes</v>
      </c>
      <c r="B183" s="159">
        <f>B27*'(Tables)'!B279</f>
        <v>0</v>
      </c>
      <c r="C183" s="69">
        <f>B183</f>
        <v>0</v>
      </c>
      <c r="D183" s="159">
        <f>D27*'(Tables)'!D279</f>
        <v>0</v>
      </c>
      <c r="E183" s="159">
        <f>E27*'(Tables)'!E279</f>
        <v>0</v>
      </c>
      <c r="F183" s="159">
        <f>F27*'(Tables)'!F279</f>
        <v>0</v>
      </c>
      <c r="G183" s="159">
        <f>G27*'(Tables)'!G279</f>
        <v>0</v>
      </c>
      <c r="H183" s="69">
        <f>SUM(D183:G183)</f>
        <v>0</v>
      </c>
      <c r="I183" s="159">
        <f>I27*'(Tables)'!I279</f>
        <v>0</v>
      </c>
      <c r="J183" s="159">
        <f>J27*'(Tables)'!J279</f>
        <v>0</v>
      </c>
      <c r="K183" s="159">
        <f>K27*'(Tables)'!K279</f>
        <v>0</v>
      </c>
      <c r="L183" s="159">
        <f>L27*'(Tables)'!L279</f>
        <v>0</v>
      </c>
      <c r="M183" s="69">
        <f>SUM(I183:L183)</f>
        <v>0</v>
      </c>
    </row>
    <row r="184" spans="1:13" ht="12.75" hidden="1" customHeight="1" outlineLevel="2" x14ac:dyDescent="0.2">
      <c r="A184" s="114" t="str">
        <f>"      "&amp;Labels!C181</f>
        <v xml:space="preserve">      Total</v>
      </c>
      <c r="B184" s="113">
        <f>SUM(B182:B183)</f>
        <v>0</v>
      </c>
      <c r="C184" s="69">
        <f>SUM(B182:B183)</f>
        <v>0</v>
      </c>
      <c r="D184" s="113">
        <f>SUM(D182:D183)</f>
        <v>0</v>
      </c>
      <c r="E184" s="113">
        <f>SUM(E182:E183)</f>
        <v>0</v>
      </c>
      <c r="F184" s="113">
        <f>SUM(F182:F183)</f>
        <v>0</v>
      </c>
      <c r="G184" s="113">
        <f>SUM(G182:G183)</f>
        <v>0</v>
      </c>
      <c r="H184" s="69">
        <f>SUM(D184:G184)</f>
        <v>0</v>
      </c>
      <c r="I184" s="113">
        <f>SUM(I182:I183)</f>
        <v>0</v>
      </c>
      <c r="J184" s="113">
        <f>SUM(J182:J183)</f>
        <v>0</v>
      </c>
      <c r="K184" s="113">
        <f>SUM(K182:K183)</f>
        <v>0</v>
      </c>
      <c r="L184" s="113">
        <f>SUM(L182:L183)</f>
        <v>0</v>
      </c>
      <c r="M184" s="69">
        <f>SUM(I184:L184)</f>
        <v>0</v>
      </c>
    </row>
    <row r="185" spans="1:13" ht="12.75" hidden="1" customHeight="1" outlineLevel="2" x14ac:dyDescent="0.2">
      <c r="A185" s="114" t="str">
        <f>"   "&amp;Labels!B148</f>
        <v xml:space="preserve">   Working Cap</v>
      </c>
      <c r="B185" s="113"/>
      <c r="C185" s="69"/>
      <c r="D185" s="113"/>
      <c r="E185" s="113"/>
      <c r="F185" s="113"/>
      <c r="G185" s="113"/>
      <c r="H185" s="69"/>
      <c r="I185" s="113"/>
      <c r="J185" s="113"/>
      <c r="K185" s="113"/>
      <c r="L185" s="113"/>
      <c r="M185" s="69"/>
    </row>
    <row r="186" spans="1:13" ht="12.75" hidden="1" customHeight="1" outlineLevel="2" x14ac:dyDescent="0.2">
      <c r="A186" s="144" t="str">
        <f>"      "&amp;Labels!B182</f>
        <v xml:space="preserve">      Catamarans</v>
      </c>
      <c r="B186" s="159">
        <f>B21*'(Tables)'!B279</f>
        <v>0</v>
      </c>
      <c r="C186" s="69">
        <f>B186</f>
        <v>0</v>
      </c>
      <c r="D186" s="159">
        <f>D21*'(Tables)'!D279</f>
        <v>0</v>
      </c>
      <c r="E186" s="159">
        <f>E21*'(Tables)'!E279</f>
        <v>0</v>
      </c>
      <c r="F186" s="159">
        <f>F21*'(Tables)'!F279</f>
        <v>0</v>
      </c>
      <c r="G186" s="159">
        <f>G21*'(Tables)'!G279</f>
        <v>0</v>
      </c>
      <c r="H186" s="69">
        <f>SUM(D186:G186)</f>
        <v>0</v>
      </c>
      <c r="I186" s="159">
        <f>I21*'(Tables)'!I279</f>
        <v>0</v>
      </c>
      <c r="J186" s="159">
        <f>J21*'(Tables)'!J279</f>
        <v>0</v>
      </c>
      <c r="K186" s="159">
        <f>K21*'(Tables)'!K279</f>
        <v>0</v>
      </c>
      <c r="L186" s="159">
        <f>L21*'(Tables)'!L279</f>
        <v>0</v>
      </c>
      <c r="M186" s="69">
        <f>SUM(I186:L186)</f>
        <v>0</v>
      </c>
    </row>
    <row r="187" spans="1:13" ht="12.75" hidden="1" customHeight="1" outlineLevel="2" x14ac:dyDescent="0.2">
      <c r="A187" s="144" t="str">
        <f>"      "&amp;Labels!B183</f>
        <v xml:space="preserve">      Canoes</v>
      </c>
      <c r="B187" s="159">
        <f>B28*'(Tables)'!B279</f>
        <v>0</v>
      </c>
      <c r="C187" s="69">
        <f>B187</f>
        <v>0</v>
      </c>
      <c r="D187" s="159">
        <f>D28*'(Tables)'!D279</f>
        <v>0</v>
      </c>
      <c r="E187" s="159">
        <f>E28*'(Tables)'!E279</f>
        <v>0</v>
      </c>
      <c r="F187" s="159">
        <f>F28*'(Tables)'!F279</f>
        <v>0</v>
      </c>
      <c r="G187" s="159">
        <f>G28*'(Tables)'!G279</f>
        <v>0</v>
      </c>
      <c r="H187" s="69">
        <f>SUM(D187:G187)</f>
        <v>0</v>
      </c>
      <c r="I187" s="159">
        <f>I28*'(Tables)'!I279</f>
        <v>0</v>
      </c>
      <c r="J187" s="159">
        <f>J28*'(Tables)'!J279</f>
        <v>0</v>
      </c>
      <c r="K187" s="159">
        <f>K28*'(Tables)'!K279</f>
        <v>0</v>
      </c>
      <c r="L187" s="159">
        <f>L28*'(Tables)'!L279</f>
        <v>0</v>
      </c>
      <c r="M187" s="69">
        <f>SUM(I187:L187)</f>
        <v>0</v>
      </c>
    </row>
    <row r="188" spans="1:13" ht="12.75" hidden="1" customHeight="1" outlineLevel="2" x14ac:dyDescent="0.2">
      <c r="A188" s="114" t="str">
        <f>"      "&amp;Labels!C181</f>
        <v xml:space="preserve">      Total</v>
      </c>
      <c r="B188" s="113">
        <f>SUM(B186:B187)</f>
        <v>0</v>
      </c>
      <c r="C188" s="69">
        <f>SUM(B186:B187)</f>
        <v>0</v>
      </c>
      <c r="D188" s="113">
        <f>SUM(D186:D187)</f>
        <v>0</v>
      </c>
      <c r="E188" s="113">
        <f>SUM(E186:E187)</f>
        <v>0</v>
      </c>
      <c r="F188" s="113">
        <f>SUM(F186:F187)</f>
        <v>0</v>
      </c>
      <c r="G188" s="113">
        <f>SUM(G186:G187)</f>
        <v>0</v>
      </c>
      <c r="H188" s="69">
        <f>SUM(D188:G188)</f>
        <v>0</v>
      </c>
      <c r="I188" s="113">
        <f>SUM(I186:I187)</f>
        <v>0</v>
      </c>
      <c r="J188" s="113">
        <f>SUM(J186:J187)</f>
        <v>0</v>
      </c>
      <c r="K188" s="113">
        <f>SUM(K186:K187)</f>
        <v>0</v>
      </c>
      <c r="L188" s="113">
        <f>SUM(L186:L187)</f>
        <v>0</v>
      </c>
      <c r="M188" s="69">
        <f>SUM(I188:L188)</f>
        <v>0</v>
      </c>
    </row>
    <row r="189" spans="1:13" ht="12.75" hidden="1" customHeight="1" outlineLevel="2" x14ac:dyDescent="0.2">
      <c r="A189" s="114" t="str">
        <f>"   "&amp;Labels!B149</f>
        <v xml:space="preserve">   Income Tax</v>
      </c>
      <c r="B189" s="113"/>
      <c r="C189" s="69"/>
      <c r="D189" s="113"/>
      <c r="E189" s="113"/>
      <c r="F189" s="113"/>
      <c r="G189" s="113"/>
      <c r="H189" s="69"/>
      <c r="I189" s="113"/>
      <c r="J189" s="113"/>
      <c r="K189" s="113"/>
      <c r="L189" s="113"/>
      <c r="M189" s="69"/>
    </row>
    <row r="190" spans="1:13" ht="12.75" hidden="1" customHeight="1" outlineLevel="2" x14ac:dyDescent="0.2">
      <c r="A190" s="144" t="str">
        <f>"      "&amp;Labels!B182</f>
        <v xml:space="preserve">      Catamarans</v>
      </c>
      <c r="B190" s="159">
        <f>B22*'(Tables)'!B279</f>
        <v>0</v>
      </c>
      <c r="C190" s="69">
        <f>B190</f>
        <v>0</v>
      </c>
      <c r="D190" s="159">
        <f>D22*'(Tables)'!D279</f>
        <v>0</v>
      </c>
      <c r="E190" s="159">
        <f>E22*'(Tables)'!E279</f>
        <v>0</v>
      </c>
      <c r="F190" s="159">
        <f>F22*'(Tables)'!F279</f>
        <v>0</v>
      </c>
      <c r="G190" s="159">
        <f>G22*'(Tables)'!G279</f>
        <v>0</v>
      </c>
      <c r="H190" s="69">
        <f t="shared" ref="H190:H195" si="37">SUM(D190:G190)</f>
        <v>0</v>
      </c>
      <c r="I190" s="159">
        <f>I22*'(Tables)'!I279</f>
        <v>0</v>
      </c>
      <c r="J190" s="159">
        <f>J22*'(Tables)'!J279</f>
        <v>0</v>
      </c>
      <c r="K190" s="159">
        <f>K22*'(Tables)'!K279</f>
        <v>0</v>
      </c>
      <c r="L190" s="159">
        <f>L22*'(Tables)'!L279</f>
        <v>0</v>
      </c>
      <c r="M190" s="69">
        <f t="shared" ref="M190:M195" si="38">SUM(I190:L190)</f>
        <v>0</v>
      </c>
    </row>
    <row r="191" spans="1:13" ht="12.75" hidden="1" customHeight="1" outlineLevel="2" x14ac:dyDescent="0.2">
      <c r="A191" s="144" t="str">
        <f>"      "&amp;Labels!B183</f>
        <v xml:space="preserve">      Canoes</v>
      </c>
      <c r="B191" s="159">
        <f>B29*'(Tables)'!B279</f>
        <v>0</v>
      </c>
      <c r="C191" s="69">
        <f>B191</f>
        <v>0</v>
      </c>
      <c r="D191" s="159">
        <f>D29*'(Tables)'!D279</f>
        <v>0</v>
      </c>
      <c r="E191" s="159">
        <f>E29*'(Tables)'!E279</f>
        <v>0</v>
      </c>
      <c r="F191" s="159">
        <f>F29*'(Tables)'!F279</f>
        <v>0</v>
      </c>
      <c r="G191" s="159">
        <f>G29*'(Tables)'!G279</f>
        <v>0</v>
      </c>
      <c r="H191" s="69">
        <f t="shared" si="37"/>
        <v>0</v>
      </c>
      <c r="I191" s="159">
        <f>I29*'(Tables)'!I279</f>
        <v>0</v>
      </c>
      <c r="J191" s="159">
        <f>J29*'(Tables)'!J279</f>
        <v>0</v>
      </c>
      <c r="K191" s="159">
        <f>K29*'(Tables)'!K279</f>
        <v>0</v>
      </c>
      <c r="L191" s="159">
        <f>L29*'(Tables)'!L279</f>
        <v>0</v>
      </c>
      <c r="M191" s="69">
        <f t="shared" si="38"/>
        <v>0</v>
      </c>
    </row>
    <row r="192" spans="1:13" ht="12.75" hidden="1" customHeight="1" outlineLevel="2" x14ac:dyDescent="0.2">
      <c r="A192" s="114" t="str">
        <f>"      "&amp;Labels!C181</f>
        <v xml:space="preserve">      Total</v>
      </c>
      <c r="B192" s="113">
        <f>SUM(B190:B191)</f>
        <v>0</v>
      </c>
      <c r="C192" s="69">
        <f>SUM(B190:B191)</f>
        <v>0</v>
      </c>
      <c r="D192" s="113">
        <f>SUM(D190:D191)</f>
        <v>0</v>
      </c>
      <c r="E192" s="113">
        <f>SUM(E190:E191)</f>
        <v>0</v>
      </c>
      <c r="F192" s="113">
        <f>SUM(F190:F191)</f>
        <v>0</v>
      </c>
      <c r="G192" s="113">
        <f>SUM(G190:G191)</f>
        <v>0</v>
      </c>
      <c r="H192" s="69">
        <f t="shared" si="37"/>
        <v>0</v>
      </c>
      <c r="I192" s="113">
        <f>SUM(I190:I191)</f>
        <v>0</v>
      </c>
      <c r="J192" s="113">
        <f>SUM(J190:J191)</f>
        <v>0</v>
      </c>
      <c r="K192" s="113">
        <f>SUM(K190:K191)</f>
        <v>0</v>
      </c>
      <c r="L192" s="113">
        <f>SUM(L190:L191)</f>
        <v>0</v>
      </c>
      <c r="M192" s="69">
        <f t="shared" si="38"/>
        <v>0</v>
      </c>
    </row>
    <row r="193" spans="1:13" ht="12.75" hidden="1" customHeight="1" outlineLevel="2" x14ac:dyDescent="0.2">
      <c r="A193" s="117" t="str">
        <f>"   "&amp;Labels!C144</f>
        <v xml:space="preserve">   Total</v>
      </c>
      <c r="B193" s="120">
        <f>SUM(B176,B180,B184,B188,B192)</f>
        <v>0</v>
      </c>
      <c r="C193" s="69">
        <f>SUM(B176,B180,B184,B188,B192)</f>
        <v>0</v>
      </c>
      <c r="D193" s="120">
        <f>SUM(D176,D180,D184,D188,D192)</f>
        <v>0</v>
      </c>
      <c r="E193" s="120">
        <f>SUM(E176,E180,E184,E188,E192)</f>
        <v>0</v>
      </c>
      <c r="F193" s="120">
        <f>SUM(F176,F180,F184,F188,F192)</f>
        <v>0</v>
      </c>
      <c r="G193" s="120">
        <f>SUM(G176,G180,G184,G188,G192)</f>
        <v>0</v>
      </c>
      <c r="H193" s="69">
        <f t="shared" si="37"/>
        <v>0</v>
      </c>
      <c r="I193" s="120">
        <f>SUM(I176,I180,I184,I188,I192)</f>
        <v>0</v>
      </c>
      <c r="J193" s="120">
        <f>SUM(J176,J180,J184,J188,J192)</f>
        <v>0</v>
      </c>
      <c r="K193" s="120">
        <f>SUM(K176,K180,K184,K188,K192)</f>
        <v>0</v>
      </c>
      <c r="L193" s="120">
        <f>SUM(L176,L180,L184,L188,L192)</f>
        <v>0</v>
      </c>
      <c r="M193" s="69">
        <f t="shared" si="38"/>
        <v>0</v>
      </c>
    </row>
    <row r="194" spans="1:13" ht="12.75" hidden="1" customHeight="1" outlineLevel="2" x14ac:dyDescent="0.2">
      <c r="A194" s="144" t="str">
        <f>"      "&amp;Labels!B182</f>
        <v xml:space="preserve">      Catamarans</v>
      </c>
      <c r="B194" s="159">
        <f>SUM(B174,B178,B182,B186,B190)</f>
        <v>0</v>
      </c>
      <c r="C194" s="69">
        <f>SUM(B174,B178,B182,B186,B190)</f>
        <v>0</v>
      </c>
      <c r="D194" s="159">
        <f t="shared" ref="D194:G196" si="39">SUM(D174,D178,D182,D186,D190)</f>
        <v>0</v>
      </c>
      <c r="E194" s="159">
        <f t="shared" si="39"/>
        <v>0</v>
      </c>
      <c r="F194" s="159">
        <f t="shared" si="39"/>
        <v>0</v>
      </c>
      <c r="G194" s="159">
        <f t="shared" si="39"/>
        <v>0</v>
      </c>
      <c r="H194" s="69">
        <f t="shared" si="37"/>
        <v>0</v>
      </c>
      <c r="I194" s="159">
        <f t="shared" ref="I194:L196" si="40">SUM(I174,I178,I182,I186,I190)</f>
        <v>0</v>
      </c>
      <c r="J194" s="159">
        <f t="shared" si="40"/>
        <v>0</v>
      </c>
      <c r="K194" s="159">
        <f t="shared" si="40"/>
        <v>0</v>
      </c>
      <c r="L194" s="159">
        <f t="shared" si="40"/>
        <v>0</v>
      </c>
      <c r="M194" s="69">
        <f t="shared" si="38"/>
        <v>0</v>
      </c>
    </row>
    <row r="195" spans="1:13" ht="12.75" hidden="1" customHeight="1" outlineLevel="2" x14ac:dyDescent="0.2">
      <c r="A195" s="144" t="str">
        <f>"      "&amp;Labels!B183</f>
        <v xml:space="preserve">      Canoes</v>
      </c>
      <c r="B195" s="159">
        <f>SUM(B175,B179,B183,B187,B191)</f>
        <v>0</v>
      </c>
      <c r="C195" s="69">
        <f>SUM(B175,B179,B183,B187,B191)</f>
        <v>0</v>
      </c>
      <c r="D195" s="159">
        <f t="shared" si="39"/>
        <v>0</v>
      </c>
      <c r="E195" s="159">
        <f t="shared" si="39"/>
        <v>0</v>
      </c>
      <c r="F195" s="159">
        <f t="shared" si="39"/>
        <v>0</v>
      </c>
      <c r="G195" s="159">
        <f t="shared" si="39"/>
        <v>0</v>
      </c>
      <c r="H195" s="69">
        <f t="shared" si="37"/>
        <v>0</v>
      </c>
      <c r="I195" s="159">
        <f t="shared" si="40"/>
        <v>0</v>
      </c>
      <c r="J195" s="159">
        <f t="shared" si="40"/>
        <v>0</v>
      </c>
      <c r="K195" s="159">
        <f t="shared" si="40"/>
        <v>0</v>
      </c>
      <c r="L195" s="159">
        <f t="shared" si="40"/>
        <v>0</v>
      </c>
      <c r="M195" s="69">
        <f t="shared" si="38"/>
        <v>0</v>
      </c>
    </row>
    <row r="196" spans="1:13" ht="12.75" hidden="1" customHeight="1" outlineLevel="2" x14ac:dyDescent="0.2">
      <c r="A196" s="145" t="str">
        <f>"      "&amp;Labels!C181</f>
        <v xml:space="preserve">      Total</v>
      </c>
      <c r="B196" s="123">
        <f>SUM(B176,B180,B184,B188,B192)</f>
        <v>0</v>
      </c>
      <c r="C196" s="70">
        <f>SUM(B176,B180,B184,B188,B192)</f>
        <v>0</v>
      </c>
      <c r="D196" s="123">
        <f t="shared" si="39"/>
        <v>0</v>
      </c>
      <c r="E196" s="123">
        <f t="shared" si="39"/>
        <v>0</v>
      </c>
      <c r="F196" s="123">
        <f t="shared" si="39"/>
        <v>0</v>
      </c>
      <c r="G196" s="123">
        <f t="shared" si="39"/>
        <v>0</v>
      </c>
      <c r="H196" s="70">
        <f>SUM(D193:G193)</f>
        <v>0</v>
      </c>
      <c r="I196" s="123">
        <f t="shared" si="40"/>
        <v>0</v>
      </c>
      <c r="J196" s="123">
        <f t="shared" si="40"/>
        <v>0</v>
      </c>
      <c r="K196" s="123">
        <f t="shared" si="40"/>
        <v>0</v>
      </c>
      <c r="L196" s="123">
        <f t="shared" si="40"/>
        <v>0</v>
      </c>
      <c r="M196" s="70">
        <f>SUM(I193:L193)</f>
        <v>0</v>
      </c>
    </row>
    <row r="197" spans="1:13" ht="12.75" hidden="1" customHeight="1" outlineLevel="2" collapsed="1" x14ac:dyDescent="0.2"/>
    <row r="198" spans="1:13" ht="12.75" hidden="1" customHeight="1" outlineLevel="1" collapsed="1" x14ac:dyDescent="0.2">
      <c r="A198" s="3" t="str">
        <f>"Return on Investment"</f>
        <v>Return on Investment</v>
      </c>
    </row>
    <row r="199" spans="1:13" ht="12.75" hidden="1" customHeight="1" outlineLevel="2" x14ac:dyDescent="0.2">
      <c r="A199" s="3" t="str">
        <f>" "</f>
        <v xml:space="preserve"> </v>
      </c>
    </row>
    <row r="200" spans="1:13" ht="12.75" hidden="1" customHeight="1" outlineLevel="2" x14ac:dyDescent="0.2">
      <c r="A200" s="111" t="str">
        <f>Labels!B85</f>
        <v>IRR (Yr)</v>
      </c>
      <c r="B200" s="162"/>
    </row>
    <row r="201" spans="1:13" ht="12.75" hidden="1" customHeight="1" outlineLevel="2" x14ac:dyDescent="0.2">
      <c r="A201" s="114" t="str">
        <f>"   "&amp;Labels!B182</f>
        <v xml:space="preserve">   Catamarans</v>
      </c>
      <c r="B201" s="163" t="e">
        <f>(1+IRR('(Ranges)'!A15:I15,(1+Inputs!E191)^(1/4)-1))^4-1</f>
        <v>#NUM!</v>
      </c>
    </row>
    <row r="202" spans="1:13" ht="12.75" hidden="1" customHeight="1" outlineLevel="2" x14ac:dyDescent="0.2">
      <c r="A202" s="114" t="str">
        <f>"   "&amp;Labels!B183</f>
        <v xml:space="preserve">   Canoes</v>
      </c>
      <c r="B202" s="163" t="e">
        <f>(1+IRR('(Ranges)'!A16:I16,(1+Inputs!E192)^(1/4)-1))^4-1</f>
        <v>#NUM!</v>
      </c>
    </row>
    <row r="203" spans="1:13" ht="12.75" hidden="1" customHeight="1" outlineLevel="2" x14ac:dyDescent="0.2">
      <c r="A203" s="121" t="str">
        <f>"   "&amp;Labels!C181</f>
        <v xml:space="preserve">   Total</v>
      </c>
      <c r="B203" s="164" t="e">
        <f>(1+IRR('(Ranges)'!A17:I17,(1+'(Tables)'!B148)^(1/4)-1))^4-1</f>
        <v>#NUM!</v>
      </c>
    </row>
    <row r="204" spans="1:13" ht="12.75" hidden="1" customHeight="1" outlineLevel="2" x14ac:dyDescent="0.2"/>
    <row r="205" spans="1:13" ht="12.75" hidden="1" customHeight="1" outlineLevel="2" collapsed="1" x14ac:dyDescent="0.2"/>
    <row r="206" spans="1:13" ht="12.75" hidden="1" customHeight="1" outlineLevel="1" collapsed="1" x14ac:dyDescent="0.2">
      <c r="A206" s="272" t="str">
        <f>"Discount Rate"</f>
        <v>Discount Rate</v>
      </c>
      <c r="B206" s="272"/>
      <c r="C206" s="272"/>
    </row>
    <row r="207" spans="1:13" ht="12.75" hidden="1" customHeight="1" outlineLevel="2" x14ac:dyDescent="0.2">
      <c r="A207" s="272" t="str">
        <f>" "</f>
        <v xml:space="preserve"> </v>
      </c>
      <c r="B207" s="272"/>
      <c r="C207" s="272"/>
    </row>
    <row r="208" spans="1:13" ht="12.75" hidden="1" customHeight="1" outlineLevel="2" x14ac:dyDescent="0.2">
      <c r="A208" s="111" t="str">
        <f>Labels!B40</f>
        <v>Discount Method (Direct or CAPM)</v>
      </c>
      <c r="B208" s="165" t="str">
        <f>Inputs!E116</f>
        <v>Direct</v>
      </c>
    </row>
    <row r="209" spans="1:13" ht="12.75" hidden="1" customHeight="1" outlineLevel="2" x14ac:dyDescent="0.2">
      <c r="A209" s="12"/>
      <c r="B209" s="12"/>
    </row>
    <row r="210" spans="1:13" ht="12.75" hidden="1" customHeight="1" outlineLevel="2" x14ac:dyDescent="0.2">
      <c r="B210" s="17" t="str">
        <f>'(FnCalls 1)'!G6</f>
        <v>Q4 2010</v>
      </c>
      <c r="C210" s="62" t="str">
        <f>'(FnCalls 1)'!H4</f>
        <v>2010</v>
      </c>
      <c r="D210" s="18" t="str">
        <f>'(FnCalls 1)'!G7</f>
        <v>Q1 2011</v>
      </c>
      <c r="E210" s="18" t="str">
        <f>'(FnCalls 1)'!G8</f>
        <v>Q2 2011</v>
      </c>
      <c r="F210" s="18" t="str">
        <f>'(FnCalls 1)'!G9</f>
        <v>Q3 2011</v>
      </c>
      <c r="G210" s="18" t="str">
        <f>'(FnCalls 1)'!G10</f>
        <v>Q4 2011</v>
      </c>
      <c r="H210" s="62" t="str">
        <f>'(FnCalls 1)'!H7</f>
        <v>2011</v>
      </c>
      <c r="I210" s="18" t="str">
        <f>'(FnCalls 1)'!G11</f>
        <v>Q1 2012</v>
      </c>
      <c r="J210" s="18" t="str">
        <f>'(FnCalls 1)'!G12</f>
        <v>Q2 2012</v>
      </c>
      <c r="K210" s="18" t="str">
        <f>'(FnCalls 1)'!G13</f>
        <v>Q3 2012</v>
      </c>
      <c r="L210" s="18" t="str">
        <f>'(FnCalls 1)'!G14</f>
        <v>Q4 2012</v>
      </c>
      <c r="M210" s="62" t="str">
        <f>'(FnCalls 1)'!H11</f>
        <v>2012</v>
      </c>
    </row>
    <row r="211" spans="1:13" ht="12.75" hidden="1" customHeight="1" outlineLevel="2" x14ac:dyDescent="0.2">
      <c r="A211" s="111" t="str">
        <f>Labels!B42</f>
        <v>Discount Rate (Yr)</v>
      </c>
      <c r="B211" s="146"/>
      <c r="C211" s="65"/>
      <c r="D211" s="146"/>
      <c r="E211" s="146"/>
      <c r="F211" s="146"/>
      <c r="G211" s="146"/>
      <c r="H211" s="65"/>
      <c r="I211" s="146"/>
      <c r="J211" s="146"/>
      <c r="K211" s="146"/>
      <c r="L211" s="146"/>
      <c r="M211" s="65"/>
    </row>
    <row r="212" spans="1:13" ht="12.75" hidden="1" customHeight="1" outlineLevel="2" x14ac:dyDescent="0.2">
      <c r="A212" s="114" t="str">
        <f>"   "&amp;Labels!B182</f>
        <v xml:space="preserve">   Catamarans</v>
      </c>
      <c r="B212" s="147">
        <f>IF(B208="Direct",Inputs!E121,IF(B208="CAPM",B223*1+B223*(-Investment!B103)+B219*B224*1+B219*B224*(-Investment!B103)+B229*Investment!B103*1+B229*Investment!B103*(-Inputs!E108),0))</f>
        <v>0.15</v>
      </c>
      <c r="C212" s="68">
        <f>IF(B208="Direct",Inputs!E121,IF(B208="CAPM",B223*1+B223*(-Investment!B103)+B219*0.055*1+B219*0.055*(-Investment!B103)+B229*Investment!B103*1+B229*Investment!B103*(-Inputs!E108),0))</f>
        <v>0.15</v>
      </c>
      <c r="D212" s="147">
        <f>IF(B208="Direct",Inputs!G121,IF(B208="CAPM",D223*1+D223*(-Investment!B103)+B219*D224*1+B219*D224*(-Investment!B103)+D229*Investment!B103*1+D229*Investment!B103*(-Inputs!G108),0))</f>
        <v>0.15</v>
      </c>
      <c r="E212" s="147">
        <f>IF(B208="Direct",Inputs!H121,IF(B208="CAPM",E223*1+E223*(-Investment!B103)+B219*E224*1+B219*E224*(-Investment!B103)+E229*Investment!B103*1+E229*Investment!B103*(-Inputs!H108),0))</f>
        <v>0.15</v>
      </c>
      <c r="F212" s="147">
        <f>IF(B208="Direct",Inputs!I121,IF(B208="CAPM",F223*1+F223*(-Investment!B103)+B219*F224*1+B219*F224*(-Investment!B103)+F229*Investment!B103*1+F229*Investment!B103*(-Inputs!I108),0))</f>
        <v>0.15</v>
      </c>
      <c r="G212" s="147">
        <f>IF(B208="Direct",Inputs!J121,IF(B208="CAPM",G223*1+G223*(-Investment!B103)+B219*G224*1+B219*G224*(-Investment!B103)+G229*Investment!B103*1+G229*Investment!B103*(-Inputs!J108),0))</f>
        <v>0.15</v>
      </c>
      <c r="H212" s="68">
        <f>IF(B208="Direct",AVERAGE(Inputs!G121:J121),IF(B208="CAPM",AVERAGE(D223:G223)*1+AVERAGE(D223:G223)*(-Investment!B103)+B219*0.055*1+B219*0.055*(-Investment!B103)+AVERAGE(D229:G229)*Investment!B103*1+AVERAGE(D229:G229)*Investment!B103*(-Inputs!J108),0))</f>
        <v>0.15</v>
      </c>
      <c r="I212" s="147">
        <f>IF(B208="Direct",Inputs!L121,IF(B208="CAPM",I223*1+I223*(-Investment!B103)+B219*I224*1+B219*I224*(-Investment!B103)+I229*Investment!B103*1+I229*Investment!B103*(-Inputs!L108),0))</f>
        <v>0.15</v>
      </c>
      <c r="J212" s="147">
        <f>IF(B208="Direct",Inputs!M121,IF(B208="CAPM",J223*1+J223*(-Investment!B103)+B219*J224*1+B219*J224*(-Investment!B103)+J229*Investment!B103*1+J229*Investment!B103*(-Inputs!M108),0))</f>
        <v>0.15</v>
      </c>
      <c r="K212" s="147">
        <f>IF(B208="Direct",Inputs!N121,IF(B208="CAPM",K223*1+K223*(-Investment!B103)+B219*K224*1+B219*K224*(-Investment!B103)+K229*Investment!B103*1+K229*Investment!B103*(-Inputs!N108),0))</f>
        <v>0.15</v>
      </c>
      <c r="L212" s="147">
        <f>IF(B208="Direct",Inputs!O121,IF(B208="CAPM",L223*1+L223*(-Investment!B103)+B219*L224*1+B219*L224*(-Investment!B103)+L229*Investment!B103*1+L229*Investment!B103*(-Inputs!O108),0))</f>
        <v>0.15</v>
      </c>
      <c r="M212" s="68">
        <f>IF(B208="Direct",AVERAGE(Inputs!L121:O121),IF(B208="CAPM",AVERAGE(I223:L223)*1+AVERAGE(I223:L223)*(-Investment!B103)+B219*0.055*1+B219*0.055*(-Investment!B103)+AVERAGE(I229:L229)*Investment!B103*1+AVERAGE(I229:L229)*Investment!B103*(-Inputs!O108),0))</f>
        <v>0.15</v>
      </c>
    </row>
    <row r="213" spans="1:13" ht="12.75" hidden="1" customHeight="1" outlineLevel="2" x14ac:dyDescent="0.2">
      <c r="A213" s="114" t="str">
        <f>"   "&amp;Labels!B183</f>
        <v xml:space="preserve">   Canoes</v>
      </c>
      <c r="B213" s="147">
        <f>IF(B208="Direct",Inputs!E122,IF(B208="CAPM",B223*1+B223*(-Investment!B104)+B220*B224*1+B220*B224*(-Investment!B104)+B233*Investment!B104*1+B233*Investment!B104*(-Inputs!E108),0))</f>
        <v>0.15</v>
      </c>
      <c r="C213" s="68">
        <f>IF(B208="Direct",Inputs!E122,IF(B208="CAPM",B223*1+B223*(-Investment!B104)+B220*0.055*1+B220*0.055*(-Investment!B104)+B233*Investment!B104*1+B233*Investment!B104*(-Inputs!E108),0))</f>
        <v>0.15</v>
      </c>
      <c r="D213" s="147">
        <f>IF(B208="Direct",Inputs!G122,IF(B208="CAPM",D223*1+D223*(-Investment!B104)+B220*D224*1+B220*D224*(-Investment!B104)+D233*Investment!B104*1+D233*Investment!B104*(-Inputs!G108),0))</f>
        <v>0.15</v>
      </c>
      <c r="E213" s="147">
        <f>IF(B208="Direct",Inputs!H122,IF(B208="CAPM",E223*1+E223*(-Investment!B104)+B220*E224*1+B220*E224*(-Investment!B104)+E233*Investment!B104*1+E233*Investment!B104*(-Inputs!H108),0))</f>
        <v>0.15</v>
      </c>
      <c r="F213" s="147">
        <f>IF(B208="Direct",Inputs!I122,IF(B208="CAPM",F223*1+F223*(-Investment!B104)+B220*F224*1+B220*F224*(-Investment!B104)+F233*Investment!B104*1+F233*Investment!B104*(-Inputs!I108),0))</f>
        <v>0.15</v>
      </c>
      <c r="G213" s="147">
        <f>IF(B208="Direct",Inputs!J122,IF(B208="CAPM",G223*1+G223*(-Investment!B104)+B220*G224*1+B220*G224*(-Investment!B104)+G233*Investment!B104*1+G233*Investment!B104*(-Inputs!J108),0))</f>
        <v>0.15</v>
      </c>
      <c r="H213" s="68">
        <f>IF(B208="Direct",AVERAGE(Inputs!G122:J122),IF(B208="CAPM",AVERAGE(D223:G223)*1+AVERAGE(D223:G223)*(-Investment!B104)+B220*0.055*1+B220*0.055*(-Investment!B104)+AVERAGE(D233:G233)*Investment!B104*1+AVERAGE(D233:G233)*Investment!B104*(-Inputs!J108),0))</f>
        <v>0.15</v>
      </c>
      <c r="I213" s="147">
        <f>IF(B208="Direct",Inputs!L122,IF(B208="CAPM",I223*1+I223*(-Investment!B104)+B220*I224*1+B220*I224*(-Investment!B104)+I233*Investment!B104*1+I233*Investment!B104*(-Inputs!L108),0))</f>
        <v>0.15</v>
      </c>
      <c r="J213" s="147">
        <f>IF(B208="Direct",Inputs!M122,IF(B208="CAPM",J223*1+J223*(-Investment!B104)+B220*J224*1+B220*J224*(-Investment!B104)+J233*Investment!B104*1+J233*Investment!B104*(-Inputs!M108),0))</f>
        <v>0.15</v>
      </c>
      <c r="K213" s="147">
        <f>IF(B208="Direct",Inputs!N122,IF(B208="CAPM",K223*1+K223*(-Investment!B104)+B220*K224*1+B220*K224*(-Investment!B104)+K233*Investment!B104*1+K233*Investment!B104*(-Inputs!N108),0))</f>
        <v>0.15</v>
      </c>
      <c r="L213" s="147">
        <f>IF(B208="Direct",Inputs!O122,IF(B208="CAPM",L223*1+L223*(-Investment!B104)+B220*L224*1+B220*L224*(-Investment!B104)+L233*Investment!B104*1+L233*Investment!B104*(-Inputs!O108),0))</f>
        <v>0.15</v>
      </c>
      <c r="M213" s="68">
        <f>IF(B208="Direct",AVERAGE(Inputs!L122:O122),IF(B208="CAPM",AVERAGE(I223:L223)*1+AVERAGE(I223:L223)*(-Investment!B104)+B220*0.055*1+B220*0.055*(-Investment!B104)+AVERAGE(I233:L233)*Investment!B104*1+AVERAGE(I233:L233)*Investment!B104*(-Inputs!O108),0))</f>
        <v>0.15</v>
      </c>
    </row>
    <row r="214" spans="1:13" ht="12.75" hidden="1" customHeight="1" outlineLevel="2" x14ac:dyDescent="0.2">
      <c r="A214" s="121" t="str">
        <f>"   "&amp;Labels!C181</f>
        <v xml:space="preserve">   Total</v>
      </c>
      <c r="B214" s="166">
        <f>IF(B208="Direct",'(Tables)'!B114,IF(B208="CAPM",B223*1+B223*(-Investment!B105)+B221*B224*1+B221*B224*(-Investment!B105)+B234*Investment!B105*1+B234*Investment!B105*(-Inputs!E108),0))</f>
        <v>0.15</v>
      </c>
      <c r="C214" s="87">
        <f>IF(B208="Direct",'(Tables)'!B114,IF(B208="CAPM",B223*1+B223*(-Investment!B105)+B221*0.055*1+B221*0.055*(-Investment!B105)+B234*Investment!B105*1+B234*Investment!B105*(-Inputs!E108),0))</f>
        <v>0.15</v>
      </c>
      <c r="D214" s="166">
        <f>IF(B208="Direct",'(Tables)'!D114,IF(B208="CAPM",D223*1+D223*(-Investment!B105)+B221*D224*1+B221*D224*(-Investment!B105)+D234*Investment!B105*1+D234*Investment!B105*(-Inputs!G108),0))</f>
        <v>0.15</v>
      </c>
      <c r="E214" s="166">
        <f>IF(B208="Direct",'(Tables)'!E114,IF(B208="CAPM",E223*1+E223*(-Investment!B105)+B221*E224*1+B221*E224*(-Investment!B105)+E234*Investment!B105*1+E234*Investment!B105*(-Inputs!H108),0))</f>
        <v>0.15</v>
      </c>
      <c r="F214" s="166">
        <f>IF(B208="Direct",'(Tables)'!F114,IF(B208="CAPM",F223*1+F223*(-Investment!B105)+B221*F224*1+B221*F224*(-Investment!B105)+F234*Investment!B105*1+F234*Investment!B105*(-Inputs!I108),0))</f>
        <v>0.15</v>
      </c>
      <c r="G214" s="166">
        <f>IF(B208="Direct",'(Tables)'!G114,IF(B208="CAPM",G223*1+G223*(-Investment!B105)+B221*G224*1+B221*G224*(-Investment!B105)+G234*Investment!B105*1+G234*Investment!B105*(-Inputs!J108),0))</f>
        <v>0.15</v>
      </c>
      <c r="H214" s="87">
        <f>IF(B208="Direct",AVERAGE('(Tables)'!D114:G114),IF(B208="CAPM",AVERAGE(D223:G223)*1+AVERAGE(D223:G223)*(-Investment!B105)+B221*0.055*1+B221*0.055*(-Investment!B105)+AVERAGE(D234:G234)*Investment!B105*1+AVERAGE(D234:G234)*Investment!B105*(-Inputs!J108),0))</f>
        <v>0.15</v>
      </c>
      <c r="I214" s="166">
        <f>IF(B208="Direct",'(Tables)'!I114,IF(B208="CAPM",I223*1+I223*(-Investment!B105)+B221*I224*1+B221*I224*(-Investment!B105)+I234*Investment!B105*1+I234*Investment!B105*(-Inputs!L108),0))</f>
        <v>0.15</v>
      </c>
      <c r="J214" s="166">
        <f>IF(B208="Direct",'(Tables)'!J114,IF(B208="CAPM",J223*1+J223*(-Investment!B105)+B221*J224*1+B221*J224*(-Investment!B105)+J234*Investment!B105*1+J234*Investment!B105*(-Inputs!M108),0))</f>
        <v>0.15</v>
      </c>
      <c r="K214" s="166">
        <f>IF(B208="Direct",'(Tables)'!K114,IF(B208="CAPM",K223*1+K223*(-Investment!B105)+B221*K224*1+B221*K224*(-Investment!B105)+K234*Investment!B105*1+K234*Investment!B105*(-Inputs!N108),0))</f>
        <v>0.15</v>
      </c>
      <c r="L214" s="166">
        <f>IF(B208="Direct",'(Tables)'!L114,IF(B208="CAPM",L223*1+L223*(-Investment!B105)+B221*L224*1+B221*L224*(-Investment!B105)+L234*Investment!B105*1+L234*Investment!B105*(-Inputs!O108),0))</f>
        <v>0.15</v>
      </c>
      <c r="M214" s="87">
        <f>IF(B208="Direct",AVERAGE('(Tables)'!I114:L114),IF(B208="CAPM",AVERAGE(I223:L223)*1+AVERAGE(I223:L223)*(-Investment!B105)+B221*0.055*1+B221*0.055*(-Investment!B105)+AVERAGE(I234:L234)*Investment!B105*1+AVERAGE(I234:L234)*Investment!B105*(-Inputs!O108),0))</f>
        <v>0.15</v>
      </c>
    </row>
    <row r="215" spans="1:13" ht="12.75" hidden="1" customHeight="1" outlineLevel="2" x14ac:dyDescent="0.2"/>
    <row r="216" spans="1:13" ht="12.75" hidden="1" customHeight="1" outlineLevel="2" x14ac:dyDescent="0.2">
      <c r="A216" s="269" t="str">
        <f>"Parameters for CAPM Discount Rate"</f>
        <v>Parameters for CAPM Discount Rate</v>
      </c>
      <c r="B216" s="269"/>
      <c r="C216" s="269"/>
    </row>
    <row r="217" spans="1:13" ht="12.75" hidden="1" customHeight="1" outlineLevel="3" x14ac:dyDescent="0.2">
      <c r="A217" s="269" t="str">
        <f>" "</f>
        <v xml:space="preserve"> </v>
      </c>
      <c r="B217" s="269"/>
      <c r="C217" s="269"/>
    </row>
    <row r="218" spans="1:13" ht="12.75" hidden="1" customHeight="1" outlineLevel="3" x14ac:dyDescent="0.2">
      <c r="A218" s="111" t="str">
        <f>Labels!B6</f>
        <v>Beta</v>
      </c>
      <c r="B218" s="150"/>
    </row>
    <row r="219" spans="1:13" ht="12.75" hidden="1" customHeight="1" outlineLevel="3" x14ac:dyDescent="0.2">
      <c r="A219" s="114" t="str">
        <f>"   "&amp;Labels!B182</f>
        <v xml:space="preserve">   Catamarans</v>
      </c>
      <c r="B219" s="151">
        <f>Inputs!E126</f>
        <v>1</v>
      </c>
    </row>
    <row r="220" spans="1:13" ht="12.75" hidden="1" customHeight="1" outlineLevel="3" x14ac:dyDescent="0.2">
      <c r="A220" s="114" t="str">
        <f>"   "&amp;Labels!B183</f>
        <v xml:space="preserve">   Canoes</v>
      </c>
      <c r="B220" s="151">
        <f>Inputs!E127</f>
        <v>1</v>
      </c>
    </row>
    <row r="221" spans="1:13" ht="12.75" hidden="1" customHeight="1" outlineLevel="3" x14ac:dyDescent="0.2">
      <c r="A221" s="121" t="str">
        <f>"   "&amp;Labels!C181</f>
        <v xml:space="preserve">   Total</v>
      </c>
      <c r="B221" s="152">
        <f>AVERAGE(B219:B220)</f>
        <v>1</v>
      </c>
    </row>
    <row r="222" spans="1:13" ht="12.75" hidden="1" customHeight="1" outlineLevel="3" x14ac:dyDescent="0.2">
      <c r="B222" s="17" t="str">
        <f>'(FnCalls 1)'!G6</f>
        <v>Q4 2010</v>
      </c>
      <c r="C222" s="62" t="str">
        <f>'(FnCalls 1)'!H4</f>
        <v>2010</v>
      </c>
      <c r="D222" s="18" t="str">
        <f>'(FnCalls 1)'!G7</f>
        <v>Q1 2011</v>
      </c>
      <c r="E222" s="18" t="str">
        <f>'(FnCalls 1)'!G8</f>
        <v>Q2 2011</v>
      </c>
      <c r="F222" s="18" t="str">
        <f>'(FnCalls 1)'!G9</f>
        <v>Q3 2011</v>
      </c>
      <c r="G222" s="18" t="str">
        <f>'(FnCalls 1)'!G10</f>
        <v>Q4 2011</v>
      </c>
      <c r="H222" s="62" t="str">
        <f>'(FnCalls 1)'!H7</f>
        <v>2011</v>
      </c>
      <c r="I222" s="18" t="str">
        <f>'(FnCalls 1)'!G11</f>
        <v>Q1 2012</v>
      </c>
      <c r="J222" s="18" t="str">
        <f>'(FnCalls 1)'!G12</f>
        <v>Q2 2012</v>
      </c>
      <c r="K222" s="18" t="str">
        <f>'(FnCalls 1)'!G13</f>
        <v>Q3 2012</v>
      </c>
      <c r="L222" s="18" t="str">
        <f>'(FnCalls 1)'!G14</f>
        <v>Q4 2012</v>
      </c>
      <c r="M222" s="62" t="str">
        <f>'(FnCalls 1)'!H11</f>
        <v>2012</v>
      </c>
    </row>
    <row r="223" spans="1:13" ht="12.75" hidden="1" customHeight="1" outlineLevel="3" x14ac:dyDescent="0.2">
      <c r="A223" s="111" t="str">
        <f>Labels!B103</f>
        <v>Riskless Discount Rate (Yr)</v>
      </c>
      <c r="B223" s="146">
        <f>Inputs!E130</f>
        <v>0.04</v>
      </c>
      <c r="C223" s="65">
        <f>Inputs!E130</f>
        <v>0.04</v>
      </c>
      <c r="D223" s="146">
        <f>Inputs!G130</f>
        <v>0.04</v>
      </c>
      <c r="E223" s="146">
        <f>Inputs!H130</f>
        <v>0.04</v>
      </c>
      <c r="F223" s="146">
        <f>Inputs!I130</f>
        <v>0.04</v>
      </c>
      <c r="G223" s="146">
        <f>Inputs!J130</f>
        <v>0.04</v>
      </c>
      <c r="H223" s="65">
        <f>AVERAGE(D223:G223)</f>
        <v>0.04</v>
      </c>
      <c r="I223" s="146">
        <f>Inputs!L130</f>
        <v>0.04</v>
      </c>
      <c r="J223" s="146">
        <f>Inputs!M130</f>
        <v>0.04</v>
      </c>
      <c r="K223" s="146">
        <f>Inputs!N130</f>
        <v>0.04</v>
      </c>
      <c r="L223" s="146">
        <f>Inputs!O130</f>
        <v>0.04</v>
      </c>
      <c r="M223" s="65">
        <f>AVERAGE(I223:L223)</f>
        <v>0.04</v>
      </c>
    </row>
    <row r="224" spans="1:13" ht="12.75" hidden="1" customHeight="1" outlineLevel="3" x14ac:dyDescent="0.2">
      <c r="A224" s="117" t="str">
        <f>Labels!B101</f>
        <v>Market Risk Premium (Yr)</v>
      </c>
      <c r="B224" s="149">
        <f>Inputs!E132</f>
        <v>5.5E-2</v>
      </c>
      <c r="C224" s="68">
        <f>0.055</f>
        <v>5.5E-2</v>
      </c>
      <c r="D224" s="149">
        <f>Inputs!G132</f>
        <v>5.5E-2</v>
      </c>
      <c r="E224" s="149">
        <f>Inputs!H132</f>
        <v>5.5E-2</v>
      </c>
      <c r="F224" s="149">
        <f>Inputs!I132</f>
        <v>5.5E-2</v>
      </c>
      <c r="G224" s="149">
        <f>Inputs!J132</f>
        <v>5.5E-2</v>
      </c>
      <c r="H224" s="68">
        <f>0.055</f>
        <v>5.5E-2</v>
      </c>
      <c r="I224" s="149">
        <f>Inputs!L132</f>
        <v>5.5E-2</v>
      </c>
      <c r="J224" s="149">
        <f>Inputs!M132</f>
        <v>5.5E-2</v>
      </c>
      <c r="K224" s="149">
        <f>Inputs!N132</f>
        <v>5.5E-2</v>
      </c>
      <c r="L224" s="149">
        <f>Inputs!O132</f>
        <v>5.5E-2</v>
      </c>
      <c r="M224" s="68">
        <f>0.055</f>
        <v>5.5E-2</v>
      </c>
    </row>
    <row r="225" spans="1:13" ht="12.75" hidden="1" customHeight="1" outlineLevel="3" x14ac:dyDescent="0.2">
      <c r="A225" s="117" t="str">
        <f>Labels!B12</f>
        <v>Borrowing Rate (Yr)</v>
      </c>
      <c r="B225" s="149"/>
      <c r="C225" s="68"/>
      <c r="D225" s="149"/>
      <c r="E225" s="149"/>
      <c r="F225" s="149"/>
      <c r="G225" s="149"/>
      <c r="H225" s="68"/>
      <c r="I225" s="149"/>
      <c r="J225" s="149"/>
      <c r="K225" s="149"/>
      <c r="L225" s="149"/>
      <c r="M225" s="68"/>
    </row>
    <row r="226" spans="1:13" ht="12.75" hidden="1" customHeight="1" outlineLevel="3" x14ac:dyDescent="0.2">
      <c r="A226" s="114" t="str">
        <f>"   "&amp;Labels!B182</f>
        <v xml:space="preserve">   Catamarans</v>
      </c>
      <c r="B226" s="147"/>
      <c r="C226" s="68"/>
      <c r="D226" s="147"/>
      <c r="E226" s="147"/>
      <c r="F226" s="147"/>
      <c r="G226" s="147"/>
      <c r="H226" s="68"/>
      <c r="I226" s="147"/>
      <c r="J226" s="147"/>
      <c r="K226" s="147"/>
      <c r="L226" s="147"/>
      <c r="M226" s="68"/>
    </row>
    <row r="227" spans="1:13" ht="12.75" hidden="1" customHeight="1" outlineLevel="3" x14ac:dyDescent="0.2">
      <c r="A227" s="144" t="str">
        <f>"      "&amp;Labels!B170</f>
        <v xml:space="preserve">      Invest 1</v>
      </c>
      <c r="B227" s="66">
        <f>Inputs!E161</f>
        <v>0.1</v>
      </c>
      <c r="C227" s="68">
        <f>Inputs!E161</f>
        <v>0.1</v>
      </c>
      <c r="D227" s="66">
        <f>Inputs!G161</f>
        <v>0.1</v>
      </c>
      <c r="E227" s="66">
        <f>Inputs!H161</f>
        <v>0.1</v>
      </c>
      <c r="F227" s="66">
        <f>Inputs!I161</f>
        <v>0.1</v>
      </c>
      <c r="G227" s="66">
        <f>Inputs!J161</f>
        <v>0.1</v>
      </c>
      <c r="H227" s="68">
        <f>AVERAGE(D227:G227)</f>
        <v>0.1</v>
      </c>
      <c r="I227" s="66">
        <f>Inputs!L161</f>
        <v>0.1</v>
      </c>
      <c r="J227" s="66">
        <f>Inputs!M161</f>
        <v>0.1</v>
      </c>
      <c r="K227" s="66">
        <f>Inputs!N161</f>
        <v>0.1</v>
      </c>
      <c r="L227" s="66">
        <f>Inputs!O161</f>
        <v>0.1</v>
      </c>
      <c r="M227" s="68">
        <f>AVERAGE(I227:L227)</f>
        <v>0.1</v>
      </c>
    </row>
    <row r="228" spans="1:13" ht="12.75" hidden="1" customHeight="1" outlineLevel="3" x14ac:dyDescent="0.2">
      <c r="A228" s="144" t="str">
        <f>"      "&amp;Labels!B171</f>
        <v xml:space="preserve">      Invest 2</v>
      </c>
      <c r="B228" s="66">
        <f>Inputs!E162</f>
        <v>0.1</v>
      </c>
      <c r="C228" s="68">
        <f>Inputs!E162</f>
        <v>0.1</v>
      </c>
      <c r="D228" s="66">
        <f>Inputs!G162</f>
        <v>0.1</v>
      </c>
      <c r="E228" s="66">
        <f>Inputs!H162</f>
        <v>0.1</v>
      </c>
      <c r="F228" s="66">
        <f>Inputs!I162</f>
        <v>0.1</v>
      </c>
      <c r="G228" s="66">
        <f>Inputs!J162</f>
        <v>0.1</v>
      </c>
      <c r="H228" s="68">
        <f>AVERAGE(D228:G228)</f>
        <v>0.1</v>
      </c>
      <c r="I228" s="66">
        <f>Inputs!L162</f>
        <v>0.1</v>
      </c>
      <c r="J228" s="66">
        <f>Inputs!M162</f>
        <v>0.1</v>
      </c>
      <c r="K228" s="66">
        <f>Inputs!N162</f>
        <v>0.1</v>
      </c>
      <c r="L228" s="66">
        <f>Inputs!O162</f>
        <v>0.1</v>
      </c>
      <c r="M228" s="68">
        <f>AVERAGE(I228:L228)</f>
        <v>0.1</v>
      </c>
    </row>
    <row r="229" spans="1:13" ht="12.75" hidden="1" customHeight="1" outlineLevel="3" x14ac:dyDescent="0.2">
      <c r="A229" s="114" t="str">
        <f>"      "&amp;Labels!C169</f>
        <v xml:space="preserve">      Total</v>
      </c>
      <c r="B229" s="147">
        <f>AVERAGE(B227:B228)</f>
        <v>0.1</v>
      </c>
      <c r="C229" s="68">
        <f>AVERAGE(B227:B228)</f>
        <v>0.1</v>
      </c>
      <c r="D229" s="147">
        <f>AVERAGE(D227:D228)</f>
        <v>0.1</v>
      </c>
      <c r="E229" s="147">
        <f>AVERAGE(E227:E228)</f>
        <v>0.1</v>
      </c>
      <c r="F229" s="147">
        <f>AVERAGE(F227:F228)</f>
        <v>0.1</v>
      </c>
      <c r="G229" s="147">
        <f>AVERAGE(G227:G228)</f>
        <v>0.1</v>
      </c>
      <c r="H229" s="68">
        <f>AVERAGE(D229:G229)</f>
        <v>0.1</v>
      </c>
      <c r="I229" s="147">
        <f>AVERAGE(I227:I228)</f>
        <v>0.1</v>
      </c>
      <c r="J229" s="147">
        <f>AVERAGE(J227:J228)</f>
        <v>0.1</v>
      </c>
      <c r="K229" s="147">
        <f>AVERAGE(K227:K228)</f>
        <v>0.1</v>
      </c>
      <c r="L229" s="147">
        <f>AVERAGE(L227:L228)</f>
        <v>0.1</v>
      </c>
      <c r="M229" s="68">
        <f>AVERAGE(I229:L229)</f>
        <v>0.1</v>
      </c>
    </row>
    <row r="230" spans="1:13" ht="12.75" hidden="1" customHeight="1" outlineLevel="3" x14ac:dyDescent="0.2">
      <c r="A230" s="114" t="str">
        <f>"   "&amp;Labels!B183</f>
        <v xml:space="preserve">   Canoes</v>
      </c>
      <c r="B230" s="147"/>
      <c r="C230" s="68"/>
      <c r="D230" s="147"/>
      <c r="E230" s="147"/>
      <c r="F230" s="147"/>
      <c r="G230" s="147"/>
      <c r="H230" s="68"/>
      <c r="I230" s="147"/>
      <c r="J230" s="147"/>
      <c r="K230" s="147"/>
      <c r="L230" s="147"/>
      <c r="M230" s="68"/>
    </row>
    <row r="231" spans="1:13" ht="12.75" hidden="1" customHeight="1" outlineLevel="3" x14ac:dyDescent="0.2">
      <c r="A231" s="144" t="str">
        <f>"      "&amp;Labels!B170</f>
        <v xml:space="preserve">      Invest 1</v>
      </c>
      <c r="B231" s="66">
        <f>Inputs!E163</f>
        <v>0.1</v>
      </c>
      <c r="C231" s="68">
        <f>Inputs!E163</f>
        <v>0.1</v>
      </c>
      <c r="D231" s="66">
        <f>Inputs!G163</f>
        <v>0.1</v>
      </c>
      <c r="E231" s="66">
        <f>Inputs!H163</f>
        <v>0.1</v>
      </c>
      <c r="F231" s="66">
        <f>Inputs!I163</f>
        <v>0.1</v>
      </c>
      <c r="G231" s="66">
        <f>Inputs!J163</f>
        <v>0.1</v>
      </c>
      <c r="H231" s="68">
        <f t="shared" ref="H231:H236" si="41">AVERAGE(D231:G231)</f>
        <v>0.1</v>
      </c>
      <c r="I231" s="66">
        <f>Inputs!L163</f>
        <v>0.1</v>
      </c>
      <c r="J231" s="66">
        <f>Inputs!M163</f>
        <v>0.1</v>
      </c>
      <c r="K231" s="66">
        <f>Inputs!N163</f>
        <v>0.1</v>
      </c>
      <c r="L231" s="66">
        <f>Inputs!O163</f>
        <v>0.1</v>
      </c>
      <c r="M231" s="68">
        <f t="shared" ref="M231:M236" si="42">AVERAGE(I231:L231)</f>
        <v>0.1</v>
      </c>
    </row>
    <row r="232" spans="1:13" ht="12.75" hidden="1" customHeight="1" outlineLevel="3" x14ac:dyDescent="0.2">
      <c r="A232" s="144" t="str">
        <f>"      "&amp;Labels!B171</f>
        <v xml:space="preserve">      Invest 2</v>
      </c>
      <c r="B232" s="66">
        <f>Inputs!E164</f>
        <v>0.1</v>
      </c>
      <c r="C232" s="68">
        <f>Inputs!E164</f>
        <v>0.1</v>
      </c>
      <c r="D232" s="66">
        <f>Inputs!G164</f>
        <v>0.1</v>
      </c>
      <c r="E232" s="66">
        <f>Inputs!H164</f>
        <v>0.1</v>
      </c>
      <c r="F232" s="66">
        <f>Inputs!I164</f>
        <v>0.1</v>
      </c>
      <c r="G232" s="66">
        <f>Inputs!J164</f>
        <v>0.1</v>
      </c>
      <c r="H232" s="68">
        <f t="shared" si="41"/>
        <v>0.1</v>
      </c>
      <c r="I232" s="66">
        <f>Inputs!L164</f>
        <v>0.1</v>
      </c>
      <c r="J232" s="66">
        <f>Inputs!M164</f>
        <v>0.1</v>
      </c>
      <c r="K232" s="66">
        <f>Inputs!N164</f>
        <v>0.1</v>
      </c>
      <c r="L232" s="66">
        <f>Inputs!O164</f>
        <v>0.1</v>
      </c>
      <c r="M232" s="68">
        <f t="shared" si="42"/>
        <v>0.1</v>
      </c>
    </row>
    <row r="233" spans="1:13" ht="12.75" hidden="1" customHeight="1" outlineLevel="3" x14ac:dyDescent="0.2">
      <c r="A233" s="114" t="str">
        <f>"      "&amp;Labels!C169</f>
        <v xml:space="preserve">      Total</v>
      </c>
      <c r="B233" s="147">
        <f>AVERAGE(B231:B232)</f>
        <v>0.1</v>
      </c>
      <c r="C233" s="68">
        <f>AVERAGE(B231:B232)</f>
        <v>0.1</v>
      </c>
      <c r="D233" s="147">
        <f>AVERAGE(D231:D232)</f>
        <v>0.1</v>
      </c>
      <c r="E233" s="147">
        <f>AVERAGE(E231:E232)</f>
        <v>0.1</v>
      </c>
      <c r="F233" s="147">
        <f>AVERAGE(F231:F232)</f>
        <v>0.1</v>
      </c>
      <c r="G233" s="147">
        <f>AVERAGE(G231:G232)</f>
        <v>0.1</v>
      </c>
      <c r="H233" s="68">
        <f t="shared" si="41"/>
        <v>0.1</v>
      </c>
      <c r="I233" s="147">
        <f>AVERAGE(I231:I232)</f>
        <v>0.1</v>
      </c>
      <c r="J233" s="147">
        <f>AVERAGE(J231:J232)</f>
        <v>0.1</v>
      </c>
      <c r="K233" s="147">
        <f>AVERAGE(K231:K232)</f>
        <v>0.1</v>
      </c>
      <c r="L233" s="147">
        <f>AVERAGE(L231:L232)</f>
        <v>0.1</v>
      </c>
      <c r="M233" s="68">
        <f t="shared" si="42"/>
        <v>0.1</v>
      </c>
    </row>
    <row r="234" spans="1:13" ht="12.75" hidden="1" customHeight="1" outlineLevel="3" x14ac:dyDescent="0.2">
      <c r="A234" s="117" t="str">
        <f>"   "&amp;Labels!C181</f>
        <v xml:space="preserve">   Total</v>
      </c>
      <c r="B234" s="149">
        <f>AVERAGE(B229,B233)</f>
        <v>0.1</v>
      </c>
      <c r="C234" s="68">
        <f>AVERAGE(B229,B233)</f>
        <v>0.1</v>
      </c>
      <c r="D234" s="149">
        <f>AVERAGE(D229,D233)</f>
        <v>0.1</v>
      </c>
      <c r="E234" s="149">
        <f>AVERAGE(E229,E233)</f>
        <v>0.1</v>
      </c>
      <c r="F234" s="149">
        <f>AVERAGE(F229,F233)</f>
        <v>0.1</v>
      </c>
      <c r="G234" s="149">
        <f>AVERAGE(G229,G233)</f>
        <v>0.1</v>
      </c>
      <c r="H234" s="68">
        <f t="shared" si="41"/>
        <v>0.1</v>
      </c>
      <c r="I234" s="149">
        <f>AVERAGE(I229,I233)</f>
        <v>0.1</v>
      </c>
      <c r="J234" s="149">
        <f>AVERAGE(J229,J233)</f>
        <v>0.1</v>
      </c>
      <c r="K234" s="149">
        <f>AVERAGE(K229,K233)</f>
        <v>0.1</v>
      </c>
      <c r="L234" s="149">
        <f>AVERAGE(L229,L233)</f>
        <v>0.1</v>
      </c>
      <c r="M234" s="68">
        <f t="shared" si="42"/>
        <v>0.1</v>
      </c>
    </row>
    <row r="235" spans="1:13" ht="12.75" hidden="1" customHeight="1" outlineLevel="3" x14ac:dyDescent="0.2">
      <c r="A235" s="144" t="str">
        <f>"      "&amp;Labels!B170</f>
        <v xml:space="preserve">      Invest 1</v>
      </c>
      <c r="B235" s="66">
        <f>AVERAGE(B227,B231)</f>
        <v>0.1</v>
      </c>
      <c r="C235" s="68">
        <f>AVERAGE(B227,B231)</f>
        <v>0.1</v>
      </c>
      <c r="D235" s="66">
        <f t="shared" ref="D235:G237" si="43">AVERAGE(D227,D231)</f>
        <v>0.1</v>
      </c>
      <c r="E235" s="66">
        <f t="shared" si="43"/>
        <v>0.1</v>
      </c>
      <c r="F235" s="66">
        <f t="shared" si="43"/>
        <v>0.1</v>
      </c>
      <c r="G235" s="66">
        <f t="shared" si="43"/>
        <v>0.1</v>
      </c>
      <c r="H235" s="68">
        <f t="shared" si="41"/>
        <v>0.1</v>
      </c>
      <c r="I235" s="66">
        <f t="shared" ref="I235:L237" si="44">AVERAGE(I227,I231)</f>
        <v>0.1</v>
      </c>
      <c r="J235" s="66">
        <f t="shared" si="44"/>
        <v>0.1</v>
      </c>
      <c r="K235" s="66">
        <f t="shared" si="44"/>
        <v>0.1</v>
      </c>
      <c r="L235" s="66">
        <f t="shared" si="44"/>
        <v>0.1</v>
      </c>
      <c r="M235" s="68">
        <f t="shared" si="42"/>
        <v>0.1</v>
      </c>
    </row>
    <row r="236" spans="1:13" ht="12.75" hidden="1" customHeight="1" outlineLevel="3" x14ac:dyDescent="0.2">
      <c r="A236" s="144" t="str">
        <f>"      "&amp;Labels!B171</f>
        <v xml:space="preserve">      Invest 2</v>
      </c>
      <c r="B236" s="66">
        <f>AVERAGE(B228,B232)</f>
        <v>0.1</v>
      </c>
      <c r="C236" s="68">
        <f>AVERAGE(B228,B232)</f>
        <v>0.1</v>
      </c>
      <c r="D236" s="66">
        <f t="shared" si="43"/>
        <v>0.1</v>
      </c>
      <c r="E236" s="66">
        <f t="shared" si="43"/>
        <v>0.1</v>
      </c>
      <c r="F236" s="66">
        <f t="shared" si="43"/>
        <v>0.1</v>
      </c>
      <c r="G236" s="66">
        <f t="shared" si="43"/>
        <v>0.1</v>
      </c>
      <c r="H236" s="68">
        <f t="shared" si="41"/>
        <v>0.1</v>
      </c>
      <c r="I236" s="66">
        <f t="shared" si="44"/>
        <v>0.1</v>
      </c>
      <c r="J236" s="66">
        <f t="shared" si="44"/>
        <v>0.1</v>
      </c>
      <c r="K236" s="66">
        <f t="shared" si="44"/>
        <v>0.1</v>
      </c>
      <c r="L236" s="66">
        <f t="shared" si="44"/>
        <v>0.1</v>
      </c>
      <c r="M236" s="68">
        <f t="shared" si="42"/>
        <v>0.1</v>
      </c>
    </row>
    <row r="237" spans="1:13" ht="12.75" hidden="1" customHeight="1" outlineLevel="3" x14ac:dyDescent="0.2">
      <c r="A237" s="145" t="str">
        <f>"      "&amp;Labels!C169</f>
        <v xml:space="preserve">      Total</v>
      </c>
      <c r="B237" s="158">
        <f>AVERAGE(B229,B233)</f>
        <v>0.1</v>
      </c>
      <c r="C237" s="87">
        <f>AVERAGE(B229,B233)</f>
        <v>0.1</v>
      </c>
      <c r="D237" s="158">
        <f t="shared" si="43"/>
        <v>0.1</v>
      </c>
      <c r="E237" s="158">
        <f t="shared" si="43"/>
        <v>0.1</v>
      </c>
      <c r="F237" s="158">
        <f t="shared" si="43"/>
        <v>0.1</v>
      </c>
      <c r="G237" s="158">
        <f t="shared" si="43"/>
        <v>0.1</v>
      </c>
      <c r="H237" s="87">
        <f>AVERAGE(D234:G234)</f>
        <v>0.1</v>
      </c>
      <c r="I237" s="158">
        <f t="shared" si="44"/>
        <v>0.1</v>
      </c>
      <c r="J237" s="158">
        <f t="shared" si="44"/>
        <v>0.1</v>
      </c>
      <c r="K237" s="158">
        <f t="shared" si="44"/>
        <v>0.1</v>
      </c>
      <c r="L237" s="158">
        <f t="shared" si="44"/>
        <v>0.1</v>
      </c>
      <c r="M237" s="87">
        <f>AVERAGE(I234:L234)</f>
        <v>0.1</v>
      </c>
    </row>
    <row r="238" spans="1:13" ht="12.75" hidden="1" customHeight="1" outlineLevel="3" collapsed="1" x14ac:dyDescent="0.2"/>
    <row r="239" spans="1:13" ht="12.75" hidden="1" customHeight="1" outlineLevel="2" collapsed="1" x14ac:dyDescent="0.2"/>
    <row r="240" spans="1:13" ht="12.75" hidden="1" customHeight="1" outlineLevel="1" collapsed="1" x14ac:dyDescent="0.2"/>
    <row r="241" spans="1:13" ht="12.75" customHeight="1" collapsed="1" x14ac:dyDescent="0.2"/>
    <row r="242" spans="1:13" ht="12.75" customHeight="1" x14ac:dyDescent="0.2">
      <c r="A242" s="2" t="str">
        <f>"Book Value"</f>
        <v>Book Value</v>
      </c>
    </row>
    <row r="243" spans="1:13" ht="12.75" hidden="1" customHeight="1" outlineLevel="1" x14ac:dyDescent="0.2">
      <c r="A243" s="2" t="str">
        <f>""</f>
        <v/>
      </c>
    </row>
    <row r="244" spans="1:13" ht="12.75" hidden="1" customHeight="1" outlineLevel="1" x14ac:dyDescent="0.2">
      <c r="B244" s="17" t="str">
        <f>'(FnCalls 1)'!G6</f>
        <v>Q4 2010</v>
      </c>
      <c r="C244" s="62" t="str">
        <f>'(FnCalls 1)'!H4</f>
        <v>2010</v>
      </c>
      <c r="D244" s="18" t="str">
        <f>'(FnCalls 1)'!G7</f>
        <v>Q1 2011</v>
      </c>
      <c r="E244" s="18" t="str">
        <f>'(FnCalls 1)'!G8</f>
        <v>Q2 2011</v>
      </c>
      <c r="F244" s="18" t="str">
        <f>'(FnCalls 1)'!G9</f>
        <v>Q3 2011</v>
      </c>
      <c r="G244" s="18" t="str">
        <f>'(FnCalls 1)'!G10</f>
        <v>Q4 2011</v>
      </c>
      <c r="H244" s="62" t="str">
        <f>'(FnCalls 1)'!H7</f>
        <v>2011</v>
      </c>
      <c r="I244" s="18" t="str">
        <f>'(FnCalls 1)'!G11</f>
        <v>Q1 2012</v>
      </c>
      <c r="J244" s="18" t="str">
        <f>'(FnCalls 1)'!G12</f>
        <v>Q2 2012</v>
      </c>
      <c r="K244" s="18" t="str">
        <f>'(FnCalls 1)'!G13</f>
        <v>Q3 2012</v>
      </c>
      <c r="L244" s="18" t="str">
        <f>'(FnCalls 1)'!G14</f>
        <v>Q4 2012</v>
      </c>
      <c r="M244" s="62" t="str">
        <f>'(FnCalls 1)'!H11</f>
        <v>2012</v>
      </c>
    </row>
    <row r="245" spans="1:13" ht="12.75" hidden="1" customHeight="1" outlineLevel="1" x14ac:dyDescent="0.2">
      <c r="A245" s="111" t="str">
        <f>Labels!B10</f>
        <v>Book Value Fixed Inv (Start)</v>
      </c>
      <c r="B245" s="110"/>
      <c r="C245" s="75"/>
      <c r="D245" s="110"/>
      <c r="E245" s="110"/>
      <c r="F245" s="110"/>
      <c r="G245" s="110"/>
      <c r="H245" s="75"/>
      <c r="I245" s="110"/>
      <c r="J245" s="110"/>
      <c r="K245" s="110"/>
      <c r="L245" s="110"/>
      <c r="M245" s="75"/>
    </row>
    <row r="246" spans="1:13" ht="12.75" hidden="1" customHeight="1" outlineLevel="1" x14ac:dyDescent="0.2">
      <c r="A246" s="114" t="str">
        <f>"   "&amp;Labels!B182</f>
        <v xml:space="preserve">   Catamarans</v>
      </c>
      <c r="B246" s="113"/>
      <c r="C246" s="69"/>
      <c r="D246" s="113"/>
      <c r="E246" s="113"/>
      <c r="F246" s="113"/>
      <c r="G246" s="113"/>
      <c r="H246" s="69"/>
      <c r="I246" s="113"/>
      <c r="J246" s="113"/>
      <c r="K246" s="113"/>
      <c r="L246" s="113"/>
      <c r="M246" s="69"/>
    </row>
    <row r="247" spans="1:13" ht="12.75" hidden="1" customHeight="1" outlineLevel="1" x14ac:dyDescent="0.2">
      <c r="A247" s="144" t="str">
        <f>"      "&amp;Labels!B170</f>
        <v xml:space="preserve">      Invest 1</v>
      </c>
      <c r="B247" s="159"/>
      <c r="C247" s="69"/>
      <c r="D247" s="159">
        <f>Investment!B134</f>
        <v>0</v>
      </c>
      <c r="E247" s="159">
        <f>Investment!D134</f>
        <v>0</v>
      </c>
      <c r="F247" s="159">
        <f>Investment!E134</f>
        <v>0</v>
      </c>
      <c r="G247" s="159">
        <f>Investment!F134</f>
        <v>0</v>
      </c>
      <c r="H247" s="69">
        <f>D247</f>
        <v>0</v>
      </c>
      <c r="I247" s="159">
        <f>Investment!G134</f>
        <v>0</v>
      </c>
      <c r="J247" s="159">
        <f>Investment!I134</f>
        <v>0</v>
      </c>
      <c r="K247" s="159">
        <f>Investment!J134</f>
        <v>0</v>
      </c>
      <c r="L247" s="159">
        <f>Investment!K134</f>
        <v>0</v>
      </c>
      <c r="M247" s="69">
        <f>I247</f>
        <v>0</v>
      </c>
    </row>
    <row r="248" spans="1:13" ht="12.75" hidden="1" customHeight="1" outlineLevel="1" x14ac:dyDescent="0.2">
      <c r="A248" s="144" t="str">
        <f>"      "&amp;Labels!B171</f>
        <v xml:space="preserve">      Invest 2</v>
      </c>
      <c r="B248" s="159"/>
      <c r="C248" s="69"/>
      <c r="D248" s="159">
        <f>Investment!B135</f>
        <v>0</v>
      </c>
      <c r="E248" s="159">
        <f>Investment!D135</f>
        <v>0</v>
      </c>
      <c r="F248" s="159">
        <f>Investment!E135</f>
        <v>0</v>
      </c>
      <c r="G248" s="159">
        <f>Investment!F135</f>
        <v>0</v>
      </c>
      <c r="H248" s="69">
        <f>D248</f>
        <v>0</v>
      </c>
      <c r="I248" s="159">
        <f>Investment!G135</f>
        <v>0</v>
      </c>
      <c r="J248" s="159">
        <f>Investment!I135</f>
        <v>0</v>
      </c>
      <c r="K248" s="159">
        <f>Investment!J135</f>
        <v>0</v>
      </c>
      <c r="L248" s="159">
        <f>Investment!K135</f>
        <v>0</v>
      </c>
      <c r="M248" s="69">
        <f>I248</f>
        <v>0</v>
      </c>
    </row>
    <row r="249" spans="1:13" ht="12.75" hidden="1" customHeight="1" outlineLevel="1" x14ac:dyDescent="0.2">
      <c r="A249" s="114" t="str">
        <f>"      "&amp;Labels!C169</f>
        <v xml:space="preserve">      Total</v>
      </c>
      <c r="B249" s="113"/>
      <c r="C249" s="69"/>
      <c r="D249" s="113">
        <f>SUM(D247:D248)</f>
        <v>0</v>
      </c>
      <c r="E249" s="113">
        <f>SUM(E247:E248)</f>
        <v>0</v>
      </c>
      <c r="F249" s="113">
        <f>SUM(F247:F248)</f>
        <v>0</v>
      </c>
      <c r="G249" s="113">
        <f>SUM(G247:G248)</f>
        <v>0</v>
      </c>
      <c r="H249" s="69">
        <f>SUM(D247:D248)</f>
        <v>0</v>
      </c>
      <c r="I249" s="113">
        <f>SUM(I247:I248)</f>
        <v>0</v>
      </c>
      <c r="J249" s="113">
        <f>SUM(J247:J248)</f>
        <v>0</v>
      </c>
      <c r="K249" s="113">
        <f>SUM(K247:K248)</f>
        <v>0</v>
      </c>
      <c r="L249" s="113">
        <f>SUM(L247:L248)</f>
        <v>0</v>
      </c>
      <c r="M249" s="69">
        <f>SUM(I247:I248)</f>
        <v>0</v>
      </c>
    </row>
    <row r="250" spans="1:13" ht="12.75" hidden="1" customHeight="1" outlineLevel="1" x14ac:dyDescent="0.2">
      <c r="A250" s="114" t="str">
        <f>"   "&amp;Labels!B183</f>
        <v xml:space="preserve">   Canoes</v>
      </c>
      <c r="B250" s="113"/>
      <c r="C250" s="69"/>
      <c r="D250" s="113"/>
      <c r="E250" s="113"/>
      <c r="F250" s="113"/>
      <c r="G250" s="113"/>
      <c r="H250" s="69"/>
      <c r="I250" s="113"/>
      <c r="J250" s="113"/>
      <c r="K250" s="113"/>
      <c r="L250" s="113"/>
      <c r="M250" s="69"/>
    </row>
    <row r="251" spans="1:13" ht="12.75" hidden="1" customHeight="1" outlineLevel="1" x14ac:dyDescent="0.2">
      <c r="A251" s="144" t="str">
        <f>"      "&amp;Labels!B170</f>
        <v xml:space="preserve">      Invest 1</v>
      </c>
      <c r="B251" s="159"/>
      <c r="C251" s="69"/>
      <c r="D251" s="159">
        <f>Investment!B138</f>
        <v>0</v>
      </c>
      <c r="E251" s="159">
        <f>Investment!D138</f>
        <v>0</v>
      </c>
      <c r="F251" s="159">
        <f>Investment!E138</f>
        <v>0</v>
      </c>
      <c r="G251" s="159">
        <f>Investment!F138</f>
        <v>0</v>
      </c>
      <c r="H251" s="69">
        <f>D251</f>
        <v>0</v>
      </c>
      <c r="I251" s="159">
        <f>Investment!G138</f>
        <v>0</v>
      </c>
      <c r="J251" s="159">
        <f>Investment!I138</f>
        <v>0</v>
      </c>
      <c r="K251" s="159">
        <f>Investment!J138</f>
        <v>0</v>
      </c>
      <c r="L251" s="159">
        <f>Investment!K138</f>
        <v>0</v>
      </c>
      <c r="M251" s="69">
        <f>I251</f>
        <v>0</v>
      </c>
    </row>
    <row r="252" spans="1:13" ht="12.75" hidden="1" customHeight="1" outlineLevel="1" x14ac:dyDescent="0.2">
      <c r="A252" s="144" t="str">
        <f>"      "&amp;Labels!B171</f>
        <v xml:space="preserve">      Invest 2</v>
      </c>
      <c r="B252" s="159"/>
      <c r="C252" s="69"/>
      <c r="D252" s="159">
        <f>Investment!B139</f>
        <v>0</v>
      </c>
      <c r="E252" s="159">
        <f>Investment!D139</f>
        <v>0</v>
      </c>
      <c r="F252" s="159">
        <f>Investment!E139</f>
        <v>0</v>
      </c>
      <c r="G252" s="159">
        <f>Investment!F139</f>
        <v>0</v>
      </c>
      <c r="H252" s="69">
        <f>D252</f>
        <v>0</v>
      </c>
      <c r="I252" s="159">
        <f>Investment!G139</f>
        <v>0</v>
      </c>
      <c r="J252" s="159">
        <f>Investment!I139</f>
        <v>0</v>
      </c>
      <c r="K252" s="159">
        <f>Investment!J139</f>
        <v>0</v>
      </c>
      <c r="L252" s="159">
        <f>Investment!K139</f>
        <v>0</v>
      </c>
      <c r="M252" s="69">
        <f>I252</f>
        <v>0</v>
      </c>
    </row>
    <row r="253" spans="1:13" ht="12.75" hidden="1" customHeight="1" outlineLevel="1" x14ac:dyDescent="0.2">
      <c r="A253" s="114" t="str">
        <f>"      "&amp;Labels!C169</f>
        <v xml:space="preserve">      Total</v>
      </c>
      <c r="B253" s="113"/>
      <c r="C253" s="69"/>
      <c r="D253" s="113">
        <f>SUM(D251:D252)</f>
        <v>0</v>
      </c>
      <c r="E253" s="113">
        <f>SUM(E251:E252)</f>
        <v>0</v>
      </c>
      <c r="F253" s="113">
        <f>SUM(F251:F252)</f>
        <v>0</v>
      </c>
      <c r="G253" s="113">
        <f>SUM(G251:G252)</f>
        <v>0</v>
      </c>
      <c r="H253" s="69">
        <f>SUM(D251:D252)</f>
        <v>0</v>
      </c>
      <c r="I253" s="113">
        <f>SUM(I251:I252)</f>
        <v>0</v>
      </c>
      <c r="J253" s="113">
        <f>SUM(J251:J252)</f>
        <v>0</v>
      </c>
      <c r="K253" s="113">
        <f>SUM(K251:K252)</f>
        <v>0</v>
      </c>
      <c r="L253" s="113">
        <f>SUM(L251:L252)</f>
        <v>0</v>
      </c>
      <c r="M253" s="69">
        <f>SUM(I251:I252)</f>
        <v>0</v>
      </c>
    </row>
    <row r="254" spans="1:13" ht="12.75" hidden="1" customHeight="1" outlineLevel="1" x14ac:dyDescent="0.2">
      <c r="A254" s="117" t="str">
        <f>"   "&amp;Labels!C181</f>
        <v xml:space="preserve">   Total</v>
      </c>
      <c r="B254" s="120"/>
      <c r="C254" s="69"/>
      <c r="D254" s="120">
        <f>SUM(D249,D253)</f>
        <v>0</v>
      </c>
      <c r="E254" s="120">
        <f>SUM(E249,E253)</f>
        <v>0</v>
      </c>
      <c r="F254" s="120">
        <f>SUM(F249,F253)</f>
        <v>0</v>
      </c>
      <c r="G254" s="120">
        <f>SUM(G249,G253)</f>
        <v>0</v>
      </c>
      <c r="H254" s="69">
        <f>SUM(D249,D253)</f>
        <v>0</v>
      </c>
      <c r="I254" s="120">
        <f>SUM(I249,I253)</f>
        <v>0</v>
      </c>
      <c r="J254" s="120">
        <f>SUM(J249,J253)</f>
        <v>0</v>
      </c>
      <c r="K254" s="120">
        <f>SUM(K249,K253)</f>
        <v>0</v>
      </c>
      <c r="L254" s="120">
        <f>SUM(L249,L253)</f>
        <v>0</v>
      </c>
      <c r="M254" s="69">
        <f>SUM(I249,I253)</f>
        <v>0</v>
      </c>
    </row>
    <row r="255" spans="1:13" ht="12.75" hidden="1" customHeight="1" outlineLevel="1" x14ac:dyDescent="0.2">
      <c r="A255" s="144" t="str">
        <f>"      "&amp;Labels!B170</f>
        <v xml:space="preserve">      Invest 1</v>
      </c>
      <c r="B255" s="159"/>
      <c r="C255" s="69"/>
      <c r="D255" s="159">
        <f t="shared" ref="D255:G257" si="45">SUM(D247,D251)</f>
        <v>0</v>
      </c>
      <c r="E255" s="159">
        <f t="shared" si="45"/>
        <v>0</v>
      </c>
      <c r="F255" s="159">
        <f t="shared" si="45"/>
        <v>0</v>
      </c>
      <c r="G255" s="159">
        <f t="shared" si="45"/>
        <v>0</v>
      </c>
      <c r="H255" s="69">
        <f>SUM(D247,D251)</f>
        <v>0</v>
      </c>
      <c r="I255" s="159">
        <f t="shared" ref="I255:L257" si="46">SUM(I247,I251)</f>
        <v>0</v>
      </c>
      <c r="J255" s="159">
        <f t="shared" si="46"/>
        <v>0</v>
      </c>
      <c r="K255" s="159">
        <f t="shared" si="46"/>
        <v>0</v>
      </c>
      <c r="L255" s="159">
        <f t="shared" si="46"/>
        <v>0</v>
      </c>
      <c r="M255" s="69">
        <f>SUM(I247,I251)</f>
        <v>0</v>
      </c>
    </row>
    <row r="256" spans="1:13" ht="12.75" hidden="1" customHeight="1" outlineLevel="1" x14ac:dyDescent="0.2">
      <c r="A256" s="144" t="str">
        <f>"      "&amp;Labels!B171</f>
        <v xml:space="preserve">      Invest 2</v>
      </c>
      <c r="B256" s="159"/>
      <c r="C256" s="69"/>
      <c r="D256" s="159">
        <f t="shared" si="45"/>
        <v>0</v>
      </c>
      <c r="E256" s="159">
        <f t="shared" si="45"/>
        <v>0</v>
      </c>
      <c r="F256" s="159">
        <f t="shared" si="45"/>
        <v>0</v>
      </c>
      <c r="G256" s="159">
        <f t="shared" si="45"/>
        <v>0</v>
      </c>
      <c r="H256" s="69">
        <f>SUM(D248,D252)</f>
        <v>0</v>
      </c>
      <c r="I256" s="159">
        <f t="shared" si="46"/>
        <v>0</v>
      </c>
      <c r="J256" s="159">
        <f t="shared" si="46"/>
        <v>0</v>
      </c>
      <c r="K256" s="159">
        <f t="shared" si="46"/>
        <v>0</v>
      </c>
      <c r="L256" s="159">
        <f t="shared" si="46"/>
        <v>0</v>
      </c>
      <c r="M256" s="69">
        <f>SUM(I248,I252)</f>
        <v>0</v>
      </c>
    </row>
    <row r="257" spans="1:13" ht="12.75" hidden="1" customHeight="1" outlineLevel="1" x14ac:dyDescent="0.2">
      <c r="A257" s="114" t="str">
        <f>"      "&amp;Labels!C169</f>
        <v xml:space="preserve">      Total</v>
      </c>
      <c r="B257" s="113"/>
      <c r="C257" s="69"/>
      <c r="D257" s="113">
        <f t="shared" si="45"/>
        <v>0</v>
      </c>
      <c r="E257" s="113">
        <f t="shared" si="45"/>
        <v>0</v>
      </c>
      <c r="F257" s="113">
        <f t="shared" si="45"/>
        <v>0</v>
      </c>
      <c r="G257" s="113">
        <f t="shared" si="45"/>
        <v>0</v>
      </c>
      <c r="H257" s="69">
        <f>SUM(D249,D253)</f>
        <v>0</v>
      </c>
      <c r="I257" s="113">
        <f t="shared" si="46"/>
        <v>0</v>
      </c>
      <c r="J257" s="113">
        <f t="shared" si="46"/>
        <v>0</v>
      </c>
      <c r="K257" s="113">
        <f t="shared" si="46"/>
        <v>0</v>
      </c>
      <c r="L257" s="113">
        <f t="shared" si="46"/>
        <v>0</v>
      </c>
      <c r="M257" s="69">
        <f>SUM(I249,I253)</f>
        <v>0</v>
      </c>
    </row>
    <row r="258" spans="1:13" ht="12.75" hidden="1" customHeight="1" outlineLevel="1" x14ac:dyDescent="0.2">
      <c r="A258" s="12"/>
      <c r="B258" s="10"/>
      <c r="C258" s="12"/>
      <c r="D258" s="10"/>
      <c r="E258" s="10"/>
      <c r="F258" s="10"/>
      <c r="G258" s="10"/>
      <c r="H258" s="12"/>
      <c r="I258" s="10"/>
      <c r="J258" s="10"/>
      <c r="K258" s="10"/>
      <c r="L258" s="10"/>
      <c r="M258" s="12"/>
    </row>
    <row r="259" spans="1:13" ht="12.75" hidden="1" customHeight="1" outlineLevel="1" x14ac:dyDescent="0.2">
      <c r="A259" s="117" t="str">
        <f>Labels!B35</f>
        <v>Depreciation</v>
      </c>
      <c r="B259" s="120"/>
      <c r="C259" s="69"/>
      <c r="D259" s="120"/>
      <c r="E259" s="120"/>
      <c r="F259" s="120"/>
      <c r="G259" s="120"/>
      <c r="H259" s="69"/>
      <c r="I259" s="120"/>
      <c r="J259" s="120"/>
      <c r="K259" s="120"/>
      <c r="L259" s="120"/>
      <c r="M259" s="69"/>
    </row>
    <row r="260" spans="1:13" ht="12.75" hidden="1" customHeight="1" outlineLevel="1" x14ac:dyDescent="0.2">
      <c r="A260" s="114" t="str">
        <f>"   "&amp;Labels!B182</f>
        <v xml:space="preserve">   Catamarans</v>
      </c>
      <c r="B260" s="113"/>
      <c r="C260" s="69"/>
      <c r="D260" s="113"/>
      <c r="E260" s="113"/>
      <c r="F260" s="113"/>
      <c r="G260" s="113"/>
      <c r="H260" s="69"/>
      <c r="I260" s="113"/>
      <c r="J260" s="113"/>
      <c r="K260" s="113"/>
      <c r="L260" s="113"/>
      <c r="M260" s="69"/>
    </row>
    <row r="261" spans="1:13" ht="12.75" hidden="1" customHeight="1" outlineLevel="1" x14ac:dyDescent="0.2">
      <c r="A261" s="144" t="str">
        <f>"      "&amp;Labels!B170</f>
        <v xml:space="preserve">      Invest 1</v>
      </c>
      <c r="B261" s="159"/>
      <c r="C261" s="69"/>
      <c r="D261" s="159">
        <f>Investment!D148</f>
        <v>0</v>
      </c>
      <c r="E261" s="159">
        <f>Investment!E148</f>
        <v>0</v>
      </c>
      <c r="F261" s="159">
        <f>Investment!F148</f>
        <v>0</v>
      </c>
      <c r="G261" s="159">
        <f>Investment!G148</f>
        <v>0</v>
      </c>
      <c r="H261" s="69">
        <f>SUM(D261:G261)</f>
        <v>0</v>
      </c>
      <c r="I261" s="159">
        <f>Investment!I148</f>
        <v>0</v>
      </c>
      <c r="J261" s="159">
        <f>Investment!J148</f>
        <v>0</v>
      </c>
      <c r="K261" s="159">
        <f>Investment!K148</f>
        <v>0</v>
      </c>
      <c r="L261" s="159">
        <f>Investment!L148</f>
        <v>0</v>
      </c>
      <c r="M261" s="69">
        <f>SUM(I261:L261)</f>
        <v>0</v>
      </c>
    </row>
    <row r="262" spans="1:13" ht="12.75" hidden="1" customHeight="1" outlineLevel="1" x14ac:dyDescent="0.2">
      <c r="A262" s="144" t="str">
        <f>"      "&amp;Labels!B171</f>
        <v xml:space="preserve">      Invest 2</v>
      </c>
      <c r="B262" s="159"/>
      <c r="C262" s="69"/>
      <c r="D262" s="159">
        <f>Investment!D149</f>
        <v>0</v>
      </c>
      <c r="E262" s="159">
        <f>Investment!E149</f>
        <v>0</v>
      </c>
      <c r="F262" s="159">
        <f>Investment!F149</f>
        <v>0</v>
      </c>
      <c r="G262" s="159">
        <f>Investment!G149</f>
        <v>0</v>
      </c>
      <c r="H262" s="69">
        <f>SUM(D262:G262)</f>
        <v>0</v>
      </c>
      <c r="I262" s="159">
        <f>Investment!I149</f>
        <v>0</v>
      </c>
      <c r="J262" s="159">
        <f>Investment!J149</f>
        <v>0</v>
      </c>
      <c r="K262" s="159">
        <f>Investment!K149</f>
        <v>0</v>
      </c>
      <c r="L262" s="159">
        <f>Investment!L149</f>
        <v>0</v>
      </c>
      <c r="M262" s="69">
        <f>SUM(I262:L262)</f>
        <v>0</v>
      </c>
    </row>
    <row r="263" spans="1:13" ht="12.75" hidden="1" customHeight="1" outlineLevel="1" x14ac:dyDescent="0.2">
      <c r="A263" s="114" t="str">
        <f>"      "&amp;Labels!C169</f>
        <v xml:space="preserve">      Total</v>
      </c>
      <c r="B263" s="113"/>
      <c r="C263" s="69"/>
      <c r="D263" s="113">
        <f>SUM(D261:D262)</f>
        <v>0</v>
      </c>
      <c r="E263" s="113">
        <f>SUM(E261:E262)</f>
        <v>0</v>
      </c>
      <c r="F263" s="113">
        <f>SUM(F261:F262)</f>
        <v>0</v>
      </c>
      <c r="G263" s="113">
        <f>SUM(G261:G262)</f>
        <v>0</v>
      </c>
      <c r="H263" s="69">
        <f>SUM(D263:G263)</f>
        <v>0</v>
      </c>
      <c r="I263" s="113">
        <f>SUM(I261:I262)</f>
        <v>0</v>
      </c>
      <c r="J263" s="113">
        <f>SUM(J261:J262)</f>
        <v>0</v>
      </c>
      <c r="K263" s="113">
        <f>SUM(K261:K262)</f>
        <v>0</v>
      </c>
      <c r="L263" s="113">
        <f>SUM(L261:L262)</f>
        <v>0</v>
      </c>
      <c r="M263" s="69">
        <f>SUM(I263:L263)</f>
        <v>0</v>
      </c>
    </row>
    <row r="264" spans="1:13" ht="12.75" hidden="1" customHeight="1" outlineLevel="1" x14ac:dyDescent="0.2">
      <c r="A264" s="114" t="str">
        <f>"   "&amp;Labels!B183</f>
        <v xml:space="preserve">   Canoes</v>
      </c>
      <c r="B264" s="113"/>
      <c r="C264" s="69"/>
      <c r="D264" s="113"/>
      <c r="E264" s="113"/>
      <c r="F264" s="113"/>
      <c r="G264" s="113"/>
      <c r="H264" s="69"/>
      <c r="I264" s="113"/>
      <c r="J264" s="113"/>
      <c r="K264" s="113"/>
      <c r="L264" s="113"/>
      <c r="M264" s="69"/>
    </row>
    <row r="265" spans="1:13" ht="12.75" hidden="1" customHeight="1" outlineLevel="1" x14ac:dyDescent="0.2">
      <c r="A265" s="144" t="str">
        <f>"      "&amp;Labels!B170</f>
        <v xml:space="preserve">      Invest 1</v>
      </c>
      <c r="B265" s="159"/>
      <c r="C265" s="69"/>
      <c r="D265" s="159">
        <f>Investment!D152</f>
        <v>0</v>
      </c>
      <c r="E265" s="159">
        <f>Investment!E152</f>
        <v>0</v>
      </c>
      <c r="F265" s="159">
        <f>Investment!F152</f>
        <v>0</v>
      </c>
      <c r="G265" s="159">
        <f>Investment!G152</f>
        <v>0</v>
      </c>
      <c r="H265" s="69">
        <f t="shared" ref="H265:H270" si="47">SUM(D265:G265)</f>
        <v>0</v>
      </c>
      <c r="I265" s="159">
        <f>Investment!I152</f>
        <v>0</v>
      </c>
      <c r="J265" s="159">
        <f>Investment!J152</f>
        <v>0</v>
      </c>
      <c r="K265" s="159">
        <f>Investment!K152</f>
        <v>0</v>
      </c>
      <c r="L265" s="159">
        <f>Investment!L152</f>
        <v>0</v>
      </c>
      <c r="M265" s="69">
        <f t="shared" ref="M265:M270" si="48">SUM(I265:L265)</f>
        <v>0</v>
      </c>
    </row>
    <row r="266" spans="1:13" ht="12.75" hidden="1" customHeight="1" outlineLevel="1" x14ac:dyDescent="0.2">
      <c r="A266" s="144" t="str">
        <f>"      "&amp;Labels!B171</f>
        <v xml:space="preserve">      Invest 2</v>
      </c>
      <c r="B266" s="159"/>
      <c r="C266" s="69"/>
      <c r="D266" s="159">
        <f>Investment!D153</f>
        <v>0</v>
      </c>
      <c r="E266" s="159">
        <f>Investment!E153</f>
        <v>0</v>
      </c>
      <c r="F266" s="159">
        <f>Investment!F153</f>
        <v>0</v>
      </c>
      <c r="G266" s="159">
        <f>Investment!G153</f>
        <v>0</v>
      </c>
      <c r="H266" s="69">
        <f t="shared" si="47"/>
        <v>0</v>
      </c>
      <c r="I266" s="159">
        <f>Investment!I153</f>
        <v>0</v>
      </c>
      <c r="J266" s="159">
        <f>Investment!J153</f>
        <v>0</v>
      </c>
      <c r="K266" s="159">
        <f>Investment!K153</f>
        <v>0</v>
      </c>
      <c r="L266" s="159">
        <f>Investment!L153</f>
        <v>0</v>
      </c>
      <c r="M266" s="69">
        <f t="shared" si="48"/>
        <v>0</v>
      </c>
    </row>
    <row r="267" spans="1:13" ht="12.75" hidden="1" customHeight="1" outlineLevel="1" x14ac:dyDescent="0.2">
      <c r="A267" s="114" t="str">
        <f>"      "&amp;Labels!C169</f>
        <v xml:space="preserve">      Total</v>
      </c>
      <c r="B267" s="113"/>
      <c r="C267" s="69"/>
      <c r="D267" s="113">
        <f>SUM(D265:D266)</f>
        <v>0</v>
      </c>
      <c r="E267" s="113">
        <f>SUM(E265:E266)</f>
        <v>0</v>
      </c>
      <c r="F267" s="113">
        <f>SUM(F265:F266)</f>
        <v>0</v>
      </c>
      <c r="G267" s="113">
        <f>SUM(G265:G266)</f>
        <v>0</v>
      </c>
      <c r="H267" s="69">
        <f t="shared" si="47"/>
        <v>0</v>
      </c>
      <c r="I267" s="113">
        <f>SUM(I265:I266)</f>
        <v>0</v>
      </c>
      <c r="J267" s="113">
        <f>SUM(J265:J266)</f>
        <v>0</v>
      </c>
      <c r="K267" s="113">
        <f>SUM(K265:K266)</f>
        <v>0</v>
      </c>
      <c r="L267" s="113">
        <f>SUM(L265:L266)</f>
        <v>0</v>
      </c>
      <c r="M267" s="69">
        <f t="shared" si="48"/>
        <v>0</v>
      </c>
    </row>
    <row r="268" spans="1:13" ht="12.75" hidden="1" customHeight="1" outlineLevel="1" x14ac:dyDescent="0.2">
      <c r="A268" s="117" t="str">
        <f>"   "&amp;Labels!C181</f>
        <v xml:space="preserve">   Total</v>
      </c>
      <c r="B268" s="120"/>
      <c r="C268" s="69"/>
      <c r="D268" s="120">
        <f>SUM(D263,D267)</f>
        <v>0</v>
      </c>
      <c r="E268" s="120">
        <f>SUM(E263,E267)</f>
        <v>0</v>
      </c>
      <c r="F268" s="120">
        <f>SUM(F263,F267)</f>
        <v>0</v>
      </c>
      <c r="G268" s="120">
        <f>SUM(G263,G267)</f>
        <v>0</v>
      </c>
      <c r="H268" s="69">
        <f t="shared" si="47"/>
        <v>0</v>
      </c>
      <c r="I268" s="120">
        <f>SUM(I263,I267)</f>
        <v>0</v>
      </c>
      <c r="J268" s="120">
        <f>SUM(J263,J267)</f>
        <v>0</v>
      </c>
      <c r="K268" s="120">
        <f>SUM(K263,K267)</f>
        <v>0</v>
      </c>
      <c r="L268" s="120">
        <f>SUM(L263,L267)</f>
        <v>0</v>
      </c>
      <c r="M268" s="69">
        <f t="shared" si="48"/>
        <v>0</v>
      </c>
    </row>
    <row r="269" spans="1:13" ht="12.75" hidden="1" customHeight="1" outlineLevel="1" x14ac:dyDescent="0.2">
      <c r="A269" s="144" t="str">
        <f>"      "&amp;Labels!B170</f>
        <v xml:space="preserve">      Invest 1</v>
      </c>
      <c r="B269" s="159"/>
      <c r="C269" s="69"/>
      <c r="D269" s="159">
        <f t="shared" ref="D269:G271" si="49">SUM(D261,D265)</f>
        <v>0</v>
      </c>
      <c r="E269" s="159">
        <f t="shared" si="49"/>
        <v>0</v>
      </c>
      <c r="F269" s="159">
        <f t="shared" si="49"/>
        <v>0</v>
      </c>
      <c r="G269" s="159">
        <f t="shared" si="49"/>
        <v>0</v>
      </c>
      <c r="H269" s="69">
        <f t="shared" si="47"/>
        <v>0</v>
      </c>
      <c r="I269" s="159">
        <f t="shared" ref="I269:L271" si="50">SUM(I261,I265)</f>
        <v>0</v>
      </c>
      <c r="J269" s="159">
        <f t="shared" si="50"/>
        <v>0</v>
      </c>
      <c r="K269" s="159">
        <f t="shared" si="50"/>
        <v>0</v>
      </c>
      <c r="L269" s="159">
        <f t="shared" si="50"/>
        <v>0</v>
      </c>
      <c r="M269" s="69">
        <f t="shared" si="48"/>
        <v>0</v>
      </c>
    </row>
    <row r="270" spans="1:13" ht="12.75" hidden="1" customHeight="1" outlineLevel="1" x14ac:dyDescent="0.2">
      <c r="A270" s="144" t="str">
        <f>"      "&amp;Labels!B171</f>
        <v xml:space="preserve">      Invest 2</v>
      </c>
      <c r="B270" s="159"/>
      <c r="C270" s="69"/>
      <c r="D270" s="159">
        <f t="shared" si="49"/>
        <v>0</v>
      </c>
      <c r="E270" s="159">
        <f t="shared" si="49"/>
        <v>0</v>
      </c>
      <c r="F270" s="159">
        <f t="shared" si="49"/>
        <v>0</v>
      </c>
      <c r="G270" s="159">
        <f t="shared" si="49"/>
        <v>0</v>
      </c>
      <c r="H270" s="69">
        <f t="shared" si="47"/>
        <v>0</v>
      </c>
      <c r="I270" s="159">
        <f t="shared" si="50"/>
        <v>0</v>
      </c>
      <c r="J270" s="159">
        <f t="shared" si="50"/>
        <v>0</v>
      </c>
      <c r="K270" s="159">
        <f t="shared" si="50"/>
        <v>0</v>
      </c>
      <c r="L270" s="159">
        <f t="shared" si="50"/>
        <v>0</v>
      </c>
      <c r="M270" s="69">
        <f t="shared" si="48"/>
        <v>0</v>
      </c>
    </row>
    <row r="271" spans="1:13" ht="12.75" hidden="1" customHeight="1" outlineLevel="1" x14ac:dyDescent="0.2">
      <c r="A271" s="114" t="str">
        <f>"      "&amp;Labels!C169</f>
        <v xml:space="preserve">      Total</v>
      </c>
      <c r="B271" s="113"/>
      <c r="C271" s="69"/>
      <c r="D271" s="113">
        <f t="shared" si="49"/>
        <v>0</v>
      </c>
      <c r="E271" s="113">
        <f t="shared" si="49"/>
        <v>0</v>
      </c>
      <c r="F271" s="113">
        <f t="shared" si="49"/>
        <v>0</v>
      </c>
      <c r="G271" s="113">
        <f t="shared" si="49"/>
        <v>0</v>
      </c>
      <c r="H271" s="69">
        <f>SUM(D268:G268)</f>
        <v>0</v>
      </c>
      <c r="I271" s="113">
        <f t="shared" si="50"/>
        <v>0</v>
      </c>
      <c r="J271" s="113">
        <f t="shared" si="50"/>
        <v>0</v>
      </c>
      <c r="K271" s="113">
        <f t="shared" si="50"/>
        <v>0</v>
      </c>
      <c r="L271" s="113">
        <f t="shared" si="50"/>
        <v>0</v>
      </c>
      <c r="M271" s="69">
        <f>SUM(I268:L268)</f>
        <v>0</v>
      </c>
    </row>
    <row r="272" spans="1:13" ht="12.75" hidden="1" customHeight="1" outlineLevel="1" x14ac:dyDescent="0.2">
      <c r="A272" s="12"/>
      <c r="B272" s="10"/>
      <c r="C272" s="12"/>
      <c r="D272" s="10"/>
      <c r="E272" s="10"/>
      <c r="F272" s="10"/>
      <c r="G272" s="10"/>
      <c r="H272" s="12"/>
      <c r="I272" s="10"/>
      <c r="J272" s="10"/>
      <c r="K272" s="10"/>
      <c r="L272" s="10"/>
      <c r="M272" s="12"/>
    </row>
    <row r="273" spans="1:13" ht="12.75" hidden="1" customHeight="1" outlineLevel="1" x14ac:dyDescent="0.2">
      <c r="A273" s="117" t="str">
        <f>Labels!B131</f>
        <v>Working Capital</v>
      </c>
      <c r="B273" s="120"/>
      <c r="C273" s="69"/>
      <c r="D273" s="120"/>
      <c r="E273" s="120"/>
      <c r="F273" s="120"/>
      <c r="G273" s="120"/>
      <c r="H273" s="69"/>
      <c r="I273" s="120"/>
      <c r="J273" s="120"/>
      <c r="K273" s="120"/>
      <c r="L273" s="120"/>
      <c r="M273" s="69"/>
    </row>
    <row r="274" spans="1:13" ht="12.75" hidden="1" customHeight="1" outlineLevel="1" x14ac:dyDescent="0.2">
      <c r="A274" s="114" t="str">
        <f>"   "&amp;Labels!B182</f>
        <v xml:space="preserve">   Catamarans</v>
      </c>
      <c r="B274" s="113"/>
      <c r="C274" s="69"/>
      <c r="D274" s="113"/>
      <c r="E274" s="113"/>
      <c r="F274" s="113"/>
      <c r="G274" s="113"/>
      <c r="H274" s="69"/>
      <c r="I274" s="113"/>
      <c r="J274" s="113"/>
      <c r="K274" s="113"/>
      <c r="L274" s="113"/>
      <c r="M274" s="69"/>
    </row>
    <row r="275" spans="1:13" ht="12.75" hidden="1" customHeight="1" outlineLevel="1" x14ac:dyDescent="0.2">
      <c r="A275" s="144" t="str">
        <f>"      "&amp;Labels!B190</f>
        <v xml:space="preserve">      Receivables</v>
      </c>
      <c r="B275" s="159">
        <f>Investment!B71</f>
        <v>0</v>
      </c>
      <c r="C275" s="69">
        <f>Investment!B71</f>
        <v>0</v>
      </c>
      <c r="D275" s="159">
        <f>Investment!D71</f>
        <v>0</v>
      </c>
      <c r="E275" s="159">
        <f>Investment!E71</f>
        <v>0</v>
      </c>
      <c r="F275" s="159">
        <f>Investment!F71</f>
        <v>0</v>
      </c>
      <c r="G275" s="159">
        <f>Investment!G71</f>
        <v>0</v>
      </c>
      <c r="H275" s="69">
        <f>Investment!G71</f>
        <v>0</v>
      </c>
      <c r="I275" s="159">
        <f>Investment!I71</f>
        <v>0</v>
      </c>
      <c r="J275" s="159">
        <f>Investment!J71</f>
        <v>0</v>
      </c>
      <c r="K275" s="159">
        <f>Investment!K71</f>
        <v>0</v>
      </c>
      <c r="L275" s="159">
        <f>Investment!L71</f>
        <v>0</v>
      </c>
      <c r="M275" s="69">
        <f>Investment!L71</f>
        <v>0</v>
      </c>
    </row>
    <row r="276" spans="1:13" ht="12.75" hidden="1" customHeight="1" outlineLevel="1" x14ac:dyDescent="0.2">
      <c r="A276" s="144" t="str">
        <f>"      "&amp;Labels!B191</f>
        <v xml:space="preserve">      Supplies inventory</v>
      </c>
      <c r="B276" s="159">
        <f>Investment!B72</f>
        <v>0</v>
      </c>
      <c r="C276" s="69">
        <f>Investment!B72</f>
        <v>0</v>
      </c>
      <c r="D276" s="159">
        <f>Investment!D72</f>
        <v>0</v>
      </c>
      <c r="E276" s="159">
        <f>Investment!E72</f>
        <v>0</v>
      </c>
      <c r="F276" s="159">
        <f>Investment!F72</f>
        <v>0</v>
      </c>
      <c r="G276" s="159">
        <f>Investment!G72</f>
        <v>0</v>
      </c>
      <c r="H276" s="69">
        <f>Investment!G72</f>
        <v>0</v>
      </c>
      <c r="I276" s="159">
        <f>Investment!I72</f>
        <v>0</v>
      </c>
      <c r="J276" s="159">
        <f>Investment!J72</f>
        <v>0</v>
      </c>
      <c r="K276" s="159">
        <f>Investment!K72</f>
        <v>0</v>
      </c>
      <c r="L276" s="159">
        <f>Investment!L72</f>
        <v>0</v>
      </c>
      <c r="M276" s="69">
        <f>Investment!L72</f>
        <v>0</v>
      </c>
    </row>
    <row r="277" spans="1:13" ht="12.75" hidden="1" customHeight="1" outlineLevel="1" x14ac:dyDescent="0.2">
      <c r="A277" s="114" t="str">
        <f>"      "&amp;Labels!C189</f>
        <v xml:space="preserve">      Total</v>
      </c>
      <c r="B277" s="113">
        <f>SUM(B275:B276)</f>
        <v>0</v>
      </c>
      <c r="C277" s="69">
        <f>SUM(B275:B276)</f>
        <v>0</v>
      </c>
      <c r="D277" s="113">
        <f>SUM(D275:D276)</f>
        <v>0</v>
      </c>
      <c r="E277" s="113">
        <f>SUM(E275:E276)</f>
        <v>0</v>
      </c>
      <c r="F277" s="113">
        <f>SUM(F275:F276)</f>
        <v>0</v>
      </c>
      <c r="G277" s="113">
        <f>SUM(G275:G276)</f>
        <v>0</v>
      </c>
      <c r="H277" s="69">
        <f>SUM(G275:G276)</f>
        <v>0</v>
      </c>
      <c r="I277" s="113">
        <f>SUM(I275:I276)</f>
        <v>0</v>
      </c>
      <c r="J277" s="113">
        <f>SUM(J275:J276)</f>
        <v>0</v>
      </c>
      <c r="K277" s="113">
        <f>SUM(K275:K276)</f>
        <v>0</v>
      </c>
      <c r="L277" s="113">
        <f>SUM(L275:L276)</f>
        <v>0</v>
      </c>
      <c r="M277" s="69">
        <f>SUM(L275:L276)</f>
        <v>0</v>
      </c>
    </row>
    <row r="278" spans="1:13" ht="12.75" hidden="1" customHeight="1" outlineLevel="1" x14ac:dyDescent="0.2">
      <c r="A278" s="114" t="str">
        <f>"   "&amp;Labels!B183</f>
        <v xml:space="preserve">   Canoes</v>
      </c>
      <c r="B278" s="113"/>
      <c r="C278" s="69"/>
      <c r="D278" s="113"/>
      <c r="E278" s="113"/>
      <c r="F278" s="113"/>
      <c r="G278" s="113"/>
      <c r="H278" s="69"/>
      <c r="I278" s="113"/>
      <c r="J278" s="113"/>
      <c r="K278" s="113"/>
      <c r="L278" s="113"/>
      <c r="M278" s="69"/>
    </row>
    <row r="279" spans="1:13" ht="12.75" hidden="1" customHeight="1" outlineLevel="1" x14ac:dyDescent="0.2">
      <c r="A279" s="144" t="str">
        <f>"      "&amp;Labels!B190</f>
        <v xml:space="preserve">      Receivables</v>
      </c>
      <c r="B279" s="159">
        <f>Investment!B75</f>
        <v>0</v>
      </c>
      <c r="C279" s="69">
        <f>Investment!B75</f>
        <v>0</v>
      </c>
      <c r="D279" s="159">
        <f>Investment!D75</f>
        <v>0</v>
      </c>
      <c r="E279" s="159">
        <f>Investment!E75</f>
        <v>0</v>
      </c>
      <c r="F279" s="159">
        <f>Investment!F75</f>
        <v>0</v>
      </c>
      <c r="G279" s="159">
        <f>Investment!G75</f>
        <v>0</v>
      </c>
      <c r="H279" s="69">
        <f>Investment!G75</f>
        <v>0</v>
      </c>
      <c r="I279" s="159">
        <f>Investment!I75</f>
        <v>0</v>
      </c>
      <c r="J279" s="159">
        <f>Investment!J75</f>
        <v>0</v>
      </c>
      <c r="K279" s="159">
        <f>Investment!K75</f>
        <v>0</v>
      </c>
      <c r="L279" s="159">
        <f>Investment!L75</f>
        <v>0</v>
      </c>
      <c r="M279" s="69">
        <f>Investment!L75</f>
        <v>0</v>
      </c>
    </row>
    <row r="280" spans="1:13" ht="12.75" hidden="1" customHeight="1" outlineLevel="1" x14ac:dyDescent="0.2">
      <c r="A280" s="144" t="str">
        <f>"      "&amp;Labels!B191</f>
        <v xml:space="preserve">      Supplies inventory</v>
      </c>
      <c r="B280" s="159">
        <f>Investment!B76</f>
        <v>0</v>
      </c>
      <c r="C280" s="69">
        <f>Investment!B76</f>
        <v>0</v>
      </c>
      <c r="D280" s="159">
        <f>Investment!D76</f>
        <v>0</v>
      </c>
      <c r="E280" s="159">
        <f>Investment!E76</f>
        <v>0</v>
      </c>
      <c r="F280" s="159">
        <f>Investment!F76</f>
        <v>0</v>
      </c>
      <c r="G280" s="159">
        <f>Investment!G76</f>
        <v>0</v>
      </c>
      <c r="H280" s="69">
        <f>Investment!G76</f>
        <v>0</v>
      </c>
      <c r="I280" s="159">
        <f>Investment!I76</f>
        <v>0</v>
      </c>
      <c r="J280" s="159">
        <f>Investment!J76</f>
        <v>0</v>
      </c>
      <c r="K280" s="159">
        <f>Investment!K76</f>
        <v>0</v>
      </c>
      <c r="L280" s="159">
        <f>Investment!L76</f>
        <v>0</v>
      </c>
      <c r="M280" s="69">
        <f>Investment!L76</f>
        <v>0</v>
      </c>
    </row>
    <row r="281" spans="1:13" ht="12.75" hidden="1" customHeight="1" outlineLevel="1" x14ac:dyDescent="0.2">
      <c r="A281" s="114" t="str">
        <f>"      "&amp;Labels!C189</f>
        <v xml:space="preserve">      Total</v>
      </c>
      <c r="B281" s="113">
        <f>SUM(B279:B280)</f>
        <v>0</v>
      </c>
      <c r="C281" s="69">
        <f>SUM(B279:B280)</f>
        <v>0</v>
      </c>
      <c r="D281" s="113">
        <f>SUM(D279:D280)</f>
        <v>0</v>
      </c>
      <c r="E281" s="113">
        <f>SUM(E279:E280)</f>
        <v>0</v>
      </c>
      <c r="F281" s="113">
        <f>SUM(F279:F280)</f>
        <v>0</v>
      </c>
      <c r="G281" s="113">
        <f>SUM(G279:G280)</f>
        <v>0</v>
      </c>
      <c r="H281" s="69">
        <f>SUM(G279:G280)</f>
        <v>0</v>
      </c>
      <c r="I281" s="113">
        <f>SUM(I279:I280)</f>
        <v>0</v>
      </c>
      <c r="J281" s="113">
        <f>SUM(J279:J280)</f>
        <v>0</v>
      </c>
      <c r="K281" s="113">
        <f>SUM(K279:K280)</f>
        <v>0</v>
      </c>
      <c r="L281" s="113">
        <f>SUM(L279:L280)</f>
        <v>0</v>
      </c>
      <c r="M281" s="69">
        <f>SUM(L279:L280)</f>
        <v>0</v>
      </c>
    </row>
    <row r="282" spans="1:13" ht="12.75" hidden="1" customHeight="1" outlineLevel="1" x14ac:dyDescent="0.2">
      <c r="A282" s="117" t="str">
        <f>"   "&amp;Labels!C181</f>
        <v xml:space="preserve">   Total</v>
      </c>
      <c r="B282" s="120">
        <f>SUM(B277,B281)</f>
        <v>0</v>
      </c>
      <c r="C282" s="69">
        <f>SUM(B277,B281)</f>
        <v>0</v>
      </c>
      <c r="D282" s="120">
        <f>SUM(D277,D281)</f>
        <v>0</v>
      </c>
      <c r="E282" s="120">
        <f>SUM(E277,E281)</f>
        <v>0</v>
      </c>
      <c r="F282" s="120">
        <f>SUM(F277,F281)</f>
        <v>0</v>
      </c>
      <c r="G282" s="120">
        <f>SUM(G277,G281)</f>
        <v>0</v>
      </c>
      <c r="H282" s="69">
        <f>SUM(G277,G281)</f>
        <v>0</v>
      </c>
      <c r="I282" s="120">
        <f>SUM(I277,I281)</f>
        <v>0</v>
      </c>
      <c r="J282" s="120">
        <f>SUM(J277,J281)</f>
        <v>0</v>
      </c>
      <c r="K282" s="120">
        <f>SUM(K277,K281)</f>
        <v>0</v>
      </c>
      <c r="L282" s="120">
        <f>SUM(L277,L281)</f>
        <v>0</v>
      </c>
      <c r="M282" s="69">
        <f>SUM(L277,L281)</f>
        <v>0</v>
      </c>
    </row>
    <row r="283" spans="1:13" ht="12.75" hidden="1" customHeight="1" outlineLevel="1" x14ac:dyDescent="0.2">
      <c r="A283" s="144" t="str">
        <f>"      "&amp;Labels!B190</f>
        <v xml:space="preserve">      Receivables</v>
      </c>
      <c r="B283" s="159">
        <f>SUM(B275,B279)</f>
        <v>0</v>
      </c>
      <c r="C283" s="69">
        <f>SUM(B275,B279)</f>
        <v>0</v>
      </c>
      <c r="D283" s="159">
        <f t="shared" ref="D283:G285" si="51">SUM(D275,D279)</f>
        <v>0</v>
      </c>
      <c r="E283" s="159">
        <f t="shared" si="51"/>
        <v>0</v>
      </c>
      <c r="F283" s="159">
        <f t="shared" si="51"/>
        <v>0</v>
      </c>
      <c r="G283" s="159">
        <f t="shared" si="51"/>
        <v>0</v>
      </c>
      <c r="H283" s="69">
        <f>SUM(G275,G279)</f>
        <v>0</v>
      </c>
      <c r="I283" s="159">
        <f t="shared" ref="I283:L285" si="52">SUM(I275,I279)</f>
        <v>0</v>
      </c>
      <c r="J283" s="159">
        <f t="shared" si="52"/>
        <v>0</v>
      </c>
      <c r="K283" s="159">
        <f t="shared" si="52"/>
        <v>0</v>
      </c>
      <c r="L283" s="159">
        <f t="shared" si="52"/>
        <v>0</v>
      </c>
      <c r="M283" s="69">
        <f>SUM(L275,L279)</f>
        <v>0</v>
      </c>
    </row>
    <row r="284" spans="1:13" ht="12.75" hidden="1" customHeight="1" outlineLevel="1" x14ac:dyDescent="0.2">
      <c r="A284" s="144" t="str">
        <f>"      "&amp;Labels!B191</f>
        <v xml:space="preserve">      Supplies inventory</v>
      </c>
      <c r="B284" s="159">
        <f>SUM(B276,B280)</f>
        <v>0</v>
      </c>
      <c r="C284" s="69">
        <f>SUM(B276,B280)</f>
        <v>0</v>
      </c>
      <c r="D284" s="159">
        <f t="shared" si="51"/>
        <v>0</v>
      </c>
      <c r="E284" s="159">
        <f t="shared" si="51"/>
        <v>0</v>
      </c>
      <c r="F284" s="159">
        <f t="shared" si="51"/>
        <v>0</v>
      </c>
      <c r="G284" s="159">
        <f t="shared" si="51"/>
        <v>0</v>
      </c>
      <c r="H284" s="69">
        <f>SUM(G276,G280)</f>
        <v>0</v>
      </c>
      <c r="I284" s="159">
        <f t="shared" si="52"/>
        <v>0</v>
      </c>
      <c r="J284" s="159">
        <f t="shared" si="52"/>
        <v>0</v>
      </c>
      <c r="K284" s="159">
        <f t="shared" si="52"/>
        <v>0</v>
      </c>
      <c r="L284" s="159">
        <f t="shared" si="52"/>
        <v>0</v>
      </c>
      <c r="M284" s="69">
        <f>SUM(L276,L280)</f>
        <v>0</v>
      </c>
    </row>
    <row r="285" spans="1:13" ht="12.75" hidden="1" customHeight="1" outlineLevel="1" x14ac:dyDescent="0.2">
      <c r="A285" s="114" t="str">
        <f>"      "&amp;Labels!C189</f>
        <v xml:space="preserve">      Total</v>
      </c>
      <c r="B285" s="113">
        <f>SUM(B277,B281)</f>
        <v>0</v>
      </c>
      <c r="C285" s="69">
        <f>SUM(B277,B281)</f>
        <v>0</v>
      </c>
      <c r="D285" s="113">
        <f t="shared" si="51"/>
        <v>0</v>
      </c>
      <c r="E285" s="113">
        <f t="shared" si="51"/>
        <v>0</v>
      </c>
      <c r="F285" s="113">
        <f t="shared" si="51"/>
        <v>0</v>
      </c>
      <c r="G285" s="113">
        <f t="shared" si="51"/>
        <v>0</v>
      </c>
      <c r="H285" s="69">
        <f>SUM(G277,G281)</f>
        <v>0</v>
      </c>
      <c r="I285" s="113">
        <f t="shared" si="52"/>
        <v>0</v>
      </c>
      <c r="J285" s="113">
        <f t="shared" si="52"/>
        <v>0</v>
      </c>
      <c r="K285" s="113">
        <f t="shared" si="52"/>
        <v>0</v>
      </c>
      <c r="L285" s="113">
        <f t="shared" si="52"/>
        <v>0</v>
      </c>
      <c r="M285" s="69">
        <f>SUM(L277,L281)</f>
        <v>0</v>
      </c>
    </row>
    <row r="286" spans="1:13" ht="12.75" hidden="1" customHeight="1" outlineLevel="1" x14ac:dyDescent="0.2">
      <c r="A286" s="12"/>
      <c r="B286" s="10"/>
      <c r="C286" s="12"/>
      <c r="D286" s="10"/>
      <c r="E286" s="10"/>
      <c r="F286" s="10"/>
      <c r="G286" s="10"/>
      <c r="H286" s="12"/>
      <c r="I286" s="10"/>
      <c r="J286" s="10"/>
      <c r="K286" s="10"/>
      <c r="L286" s="10"/>
      <c r="M286" s="12"/>
    </row>
    <row r="287" spans="1:13" ht="12.75" hidden="1" customHeight="1" outlineLevel="1" x14ac:dyDescent="0.2">
      <c r="A287" s="117" t="str">
        <f>Labels!B7</f>
        <v>Book Value</v>
      </c>
      <c r="B287" s="120"/>
      <c r="C287" s="69"/>
      <c r="D287" s="120"/>
      <c r="E287" s="120"/>
      <c r="F287" s="120"/>
      <c r="G287" s="120"/>
      <c r="H287" s="69"/>
      <c r="I287" s="120"/>
      <c r="J287" s="120"/>
      <c r="K287" s="120"/>
      <c r="L287" s="120"/>
      <c r="M287" s="69"/>
    </row>
    <row r="288" spans="1:13" ht="12.75" hidden="1" customHeight="1" outlineLevel="1" x14ac:dyDescent="0.2">
      <c r="A288" s="114" t="str">
        <f>"   "&amp;Labels!B182</f>
        <v xml:space="preserve">   Catamarans</v>
      </c>
      <c r="B288" s="113">
        <f>Investment!B120</f>
        <v>0</v>
      </c>
      <c r="C288" s="69">
        <f>Investment!B120</f>
        <v>0</v>
      </c>
      <c r="D288" s="113">
        <f>Investment!D120</f>
        <v>0</v>
      </c>
      <c r="E288" s="113">
        <f>Investment!E120</f>
        <v>0</v>
      </c>
      <c r="F288" s="113">
        <f>Investment!F120</f>
        <v>0</v>
      </c>
      <c r="G288" s="113">
        <f>Investment!G120</f>
        <v>0</v>
      </c>
      <c r="H288" s="69">
        <f>Investment!G120</f>
        <v>0</v>
      </c>
      <c r="I288" s="113">
        <f>Investment!I120</f>
        <v>0</v>
      </c>
      <c r="J288" s="113">
        <f>Investment!J120</f>
        <v>0</v>
      </c>
      <c r="K288" s="113">
        <f>Investment!K120</f>
        <v>0</v>
      </c>
      <c r="L288" s="113">
        <f>Investment!L120</f>
        <v>0</v>
      </c>
      <c r="M288" s="69">
        <f>Investment!L120</f>
        <v>0</v>
      </c>
    </row>
    <row r="289" spans="1:13" ht="12.75" hidden="1" customHeight="1" outlineLevel="1" x14ac:dyDescent="0.2">
      <c r="A289" s="114" t="str">
        <f>"   "&amp;Labels!B183</f>
        <v xml:space="preserve">   Canoes</v>
      </c>
      <c r="B289" s="113">
        <f>Investment!B123</f>
        <v>0</v>
      </c>
      <c r="C289" s="69">
        <f>Investment!B123</f>
        <v>0</v>
      </c>
      <c r="D289" s="113">
        <f>Investment!D123</f>
        <v>0</v>
      </c>
      <c r="E289" s="113">
        <f>Investment!E123</f>
        <v>0</v>
      </c>
      <c r="F289" s="113">
        <f>Investment!F123</f>
        <v>0</v>
      </c>
      <c r="G289" s="113">
        <f>Investment!G123</f>
        <v>0</v>
      </c>
      <c r="H289" s="69">
        <f>Investment!G123</f>
        <v>0</v>
      </c>
      <c r="I289" s="113">
        <f>Investment!I123</f>
        <v>0</v>
      </c>
      <c r="J289" s="113">
        <f>Investment!J123</f>
        <v>0</v>
      </c>
      <c r="K289" s="113">
        <f>Investment!K123</f>
        <v>0</v>
      </c>
      <c r="L289" s="113">
        <f>Investment!L123</f>
        <v>0</v>
      </c>
      <c r="M289" s="69">
        <f>Investment!L123</f>
        <v>0</v>
      </c>
    </row>
    <row r="290" spans="1:13" ht="12.75" hidden="1" customHeight="1" outlineLevel="1" x14ac:dyDescent="0.2">
      <c r="A290" s="117" t="str">
        <f>"   "&amp;Labels!C181</f>
        <v xml:space="preserve">   Total</v>
      </c>
      <c r="B290" s="120">
        <f>SUM(B288:B289)</f>
        <v>0</v>
      </c>
      <c r="C290" s="69">
        <f>SUM(B288:B289)</f>
        <v>0</v>
      </c>
      <c r="D290" s="120">
        <f>SUM(D288:D289)</f>
        <v>0</v>
      </c>
      <c r="E290" s="120">
        <f>SUM(E288:E289)</f>
        <v>0</v>
      </c>
      <c r="F290" s="120">
        <f>SUM(F288:F289)</f>
        <v>0</v>
      </c>
      <c r="G290" s="120">
        <f>SUM(G288:G289)</f>
        <v>0</v>
      </c>
      <c r="H290" s="69">
        <f>SUM(G288:G289)</f>
        <v>0</v>
      </c>
      <c r="I290" s="120">
        <f>SUM(I288:I289)</f>
        <v>0</v>
      </c>
      <c r="J290" s="120">
        <f>SUM(J288:J289)</f>
        <v>0</v>
      </c>
      <c r="K290" s="120">
        <f>SUM(K288:K289)</f>
        <v>0</v>
      </c>
      <c r="L290" s="120">
        <f>SUM(L288:L289)</f>
        <v>0</v>
      </c>
      <c r="M290" s="69">
        <f>SUM(L288:L289)</f>
        <v>0</v>
      </c>
    </row>
    <row r="291" spans="1:13" ht="12.75" hidden="1" customHeight="1" outlineLevel="1" x14ac:dyDescent="0.2">
      <c r="A291" s="12"/>
      <c r="B291" s="10"/>
      <c r="C291" s="12"/>
      <c r="D291" s="10"/>
      <c r="E291" s="10"/>
      <c r="F291" s="10"/>
      <c r="G291" s="10"/>
      <c r="H291" s="12"/>
      <c r="I291" s="10"/>
      <c r="J291" s="10"/>
      <c r="K291" s="10"/>
      <c r="L291" s="10"/>
      <c r="M291" s="12"/>
    </row>
    <row r="292" spans="1:13" ht="12.75" hidden="1" customHeight="1" outlineLevel="1" x14ac:dyDescent="0.2">
      <c r="A292" s="117" t="str">
        <f>Labels!B13</f>
        <v>Average Capital</v>
      </c>
      <c r="B292" s="120"/>
      <c r="C292" s="69"/>
      <c r="D292" s="120"/>
      <c r="E292" s="120"/>
      <c r="F292" s="120"/>
      <c r="G292" s="120"/>
      <c r="H292" s="69"/>
      <c r="I292" s="120"/>
      <c r="J292" s="120"/>
      <c r="K292" s="120"/>
      <c r="L292" s="120"/>
      <c r="M292" s="69"/>
    </row>
    <row r="293" spans="1:13" ht="12.75" hidden="1" customHeight="1" outlineLevel="1" x14ac:dyDescent="0.2">
      <c r="A293" s="114" t="str">
        <f>"   "&amp;Labels!B182</f>
        <v xml:space="preserve">   Catamarans</v>
      </c>
      <c r="B293" s="113"/>
      <c r="C293" s="69"/>
      <c r="D293" s="113">
        <f>Investment!D121</f>
        <v>0</v>
      </c>
      <c r="E293" s="113">
        <f>Investment!E121</f>
        <v>0</v>
      </c>
      <c r="F293" s="113">
        <f>Investment!F121</f>
        <v>0</v>
      </c>
      <c r="G293" s="113">
        <f>Investment!G121</f>
        <v>0</v>
      </c>
      <c r="H293" s="69">
        <f>AVERAGE(D293:G293)</f>
        <v>0</v>
      </c>
      <c r="I293" s="113">
        <f>Investment!I121</f>
        <v>0</v>
      </c>
      <c r="J293" s="113">
        <f>Investment!J121</f>
        <v>0</v>
      </c>
      <c r="K293" s="113">
        <f>Investment!K121</f>
        <v>0</v>
      </c>
      <c r="L293" s="113">
        <f>Investment!L121</f>
        <v>0</v>
      </c>
      <c r="M293" s="69">
        <f>AVERAGE(I293:L293)</f>
        <v>0</v>
      </c>
    </row>
    <row r="294" spans="1:13" ht="12.75" hidden="1" customHeight="1" outlineLevel="1" x14ac:dyDescent="0.2">
      <c r="A294" s="114" t="str">
        <f>"   "&amp;Labels!B183</f>
        <v xml:space="preserve">   Canoes</v>
      </c>
      <c r="B294" s="113"/>
      <c r="C294" s="69"/>
      <c r="D294" s="113">
        <f>Investment!D124</f>
        <v>0</v>
      </c>
      <c r="E294" s="113">
        <f>Investment!E124</f>
        <v>0</v>
      </c>
      <c r="F294" s="113">
        <f>Investment!F124</f>
        <v>0</v>
      </c>
      <c r="G294" s="113">
        <f>Investment!G124</f>
        <v>0</v>
      </c>
      <c r="H294" s="69">
        <f>AVERAGE(D294:G294)</f>
        <v>0</v>
      </c>
      <c r="I294" s="113">
        <f>Investment!I124</f>
        <v>0</v>
      </c>
      <c r="J294" s="113">
        <f>Investment!J124</f>
        <v>0</v>
      </c>
      <c r="K294" s="113">
        <f>Investment!K124</f>
        <v>0</v>
      </c>
      <c r="L294" s="113">
        <f>Investment!L124</f>
        <v>0</v>
      </c>
      <c r="M294" s="69">
        <f>AVERAGE(I294:L294)</f>
        <v>0</v>
      </c>
    </row>
    <row r="295" spans="1:13" ht="12.75" hidden="1" customHeight="1" outlineLevel="1" x14ac:dyDescent="0.2">
      <c r="A295" s="121" t="str">
        <f>"   "&amp;Labels!C181</f>
        <v xml:space="preserve">   Total</v>
      </c>
      <c r="B295" s="132"/>
      <c r="C295" s="70"/>
      <c r="D295" s="132">
        <f>SUM(D293:D294)</f>
        <v>0</v>
      </c>
      <c r="E295" s="132">
        <f>SUM(E293:E294)</f>
        <v>0</v>
      </c>
      <c r="F295" s="132">
        <f>SUM(F293:F294)</f>
        <v>0</v>
      </c>
      <c r="G295" s="132">
        <f>SUM(G293:G294)</f>
        <v>0</v>
      </c>
      <c r="H295" s="70">
        <f>AVERAGE(D295:G295)</f>
        <v>0</v>
      </c>
      <c r="I295" s="132">
        <f>SUM(I293:I294)</f>
        <v>0</v>
      </c>
      <c r="J295" s="132">
        <f>SUM(J293:J294)</f>
        <v>0</v>
      </c>
      <c r="K295" s="132">
        <f>SUM(K293:K294)</f>
        <v>0</v>
      </c>
      <c r="L295" s="132">
        <f>SUM(L293:L294)</f>
        <v>0</v>
      </c>
      <c r="M295" s="70">
        <f>AVERAGE(I295:L295)</f>
        <v>0</v>
      </c>
    </row>
    <row r="296" spans="1:13" ht="12.75" hidden="1" customHeight="1" outlineLevel="1" collapsed="1" x14ac:dyDescent="0.2"/>
    <row r="297" spans="1:13" ht="12.75" customHeight="1" collapsed="1" x14ac:dyDescent="0.2">
      <c r="A297" t="s">
        <v>841</v>
      </c>
      <c r="B297" t="s">
        <v>841</v>
      </c>
      <c r="C297" t="s">
        <v>841</v>
      </c>
      <c r="D297" t="s">
        <v>841</v>
      </c>
      <c r="E297" t="s">
        <v>841</v>
      </c>
      <c r="F297" t="s">
        <v>841</v>
      </c>
      <c r="G297" t="s">
        <v>841</v>
      </c>
      <c r="H297" t="s">
        <v>841</v>
      </c>
      <c r="I297" t="s">
        <v>841</v>
      </c>
      <c r="J297" t="s">
        <v>841</v>
      </c>
      <c r="K297" t="s">
        <v>841</v>
      </c>
      <c r="L297" t="s">
        <v>841</v>
      </c>
      <c r="M297" t="s">
        <v>841</v>
      </c>
    </row>
  </sheetData>
  <mergeCells count="19">
    <mergeCell ref="A217:C217"/>
    <mergeCell ref="A131:B131"/>
    <mergeCell ref="A169:B169"/>
    <mergeCell ref="A170:B170"/>
    <mergeCell ref="A206:C206"/>
    <mergeCell ref="A207:C207"/>
    <mergeCell ref="A216:C216"/>
    <mergeCell ref="A115:C115"/>
    <mergeCell ref="A1:D1"/>
    <mergeCell ref="A2:D2"/>
    <mergeCell ref="A3:D3"/>
    <mergeCell ref="A4:D4"/>
    <mergeCell ref="A39:B39"/>
    <mergeCell ref="A40:B40"/>
    <mergeCell ref="A56:B56"/>
    <mergeCell ref="A57:B57"/>
    <mergeCell ref="A101:B101"/>
    <mergeCell ref="A102:B102"/>
    <mergeCell ref="A114:C114"/>
  </mergeCells>
  <pageMargins left="0.25" right="0.25" top="0.5" bottom="0.5" header="0.5" footer="0.5"/>
  <pageSetup paperSize="9" fitToHeight="32767" orientation="landscape"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98"/>
  <sheetViews>
    <sheetView zoomScaleNormal="100" workbookViewId="0"/>
  </sheetViews>
  <sheetFormatPr defaultRowHeight="12.75" customHeight="1" outlineLevelRow="2" x14ac:dyDescent="0.2"/>
  <cols>
    <col min="1" max="1" width="30.85546875" customWidth="1"/>
    <col min="2" max="13" width="16" customWidth="1"/>
  </cols>
  <sheetData>
    <row r="1" spans="1:13" ht="12.75" customHeight="1" x14ac:dyDescent="0.2">
      <c r="A1" s="270" t="str">
        <f>Inputs!E7</f>
        <v>ModelSheet Software</v>
      </c>
      <c r="B1" s="270"/>
      <c r="C1" s="270"/>
      <c r="D1" s="270"/>
    </row>
    <row r="2" spans="1:13" ht="12.75" customHeight="1" x14ac:dyDescent="0.2">
      <c r="A2" s="270" t="str">
        <f>Inputs!E9</f>
        <v>Project Test</v>
      </c>
      <c r="B2" s="270"/>
      <c r="C2" s="270"/>
      <c r="D2" s="270"/>
    </row>
    <row r="3" spans="1:13" ht="12.75" customHeight="1" x14ac:dyDescent="0.2">
      <c r="A3" s="270" t="str">
        <f>"Equity Financing"</f>
        <v>Equity Financing</v>
      </c>
      <c r="B3" s="270"/>
      <c r="C3" s="270"/>
      <c r="D3" s="270"/>
    </row>
    <row r="4" spans="1:13" ht="12.75" customHeight="1" x14ac:dyDescent="0.2">
      <c r="A4" s="270" t="str">
        <f>" "</f>
        <v xml:space="preserve"> </v>
      </c>
      <c r="B4" s="270"/>
      <c r="C4" s="270"/>
      <c r="D4" s="270"/>
    </row>
    <row r="5" spans="1:13" ht="12.75" customHeight="1" x14ac:dyDescent="0.2">
      <c r="A5" s="2" t="str">
        <f>"Cash Flow"</f>
        <v>Cash Flow</v>
      </c>
    </row>
    <row r="6" spans="1:13" ht="12.75" customHeight="1" x14ac:dyDescent="0.2">
      <c r="A6" s="1" t="str">
        <f>" "</f>
        <v xml:space="preserve"> </v>
      </c>
    </row>
    <row r="7" spans="1:13" ht="12.75" customHeight="1" x14ac:dyDescent="0.2">
      <c r="B7" s="17" t="str">
        <f>'(FnCalls 1)'!G6</f>
        <v>Q4 2010</v>
      </c>
      <c r="C7" s="62" t="str">
        <f>'(FnCalls 1)'!H4</f>
        <v>2010</v>
      </c>
      <c r="D7" s="18" t="str">
        <f>'(FnCalls 1)'!G7</f>
        <v>Q1 2011</v>
      </c>
      <c r="E7" s="18" t="str">
        <f>'(FnCalls 1)'!G8</f>
        <v>Q2 2011</v>
      </c>
      <c r="F7" s="18" t="str">
        <f>'(FnCalls 1)'!G9</f>
        <v>Q3 2011</v>
      </c>
      <c r="G7" s="18" t="str">
        <f>'(FnCalls 1)'!G10</f>
        <v>Q4 2011</v>
      </c>
      <c r="H7" s="62" t="str">
        <f>'(FnCalls 1)'!H7</f>
        <v>2011</v>
      </c>
      <c r="I7" s="18" t="str">
        <f>'(FnCalls 1)'!G11</f>
        <v>Q1 2012</v>
      </c>
      <c r="J7" s="18" t="str">
        <f>'(FnCalls 1)'!G12</f>
        <v>Q2 2012</v>
      </c>
      <c r="K7" s="18" t="str">
        <f>'(FnCalls 1)'!G13</f>
        <v>Q3 2012</v>
      </c>
      <c r="L7" s="18" t="str">
        <f>'(FnCalls 1)'!G14</f>
        <v>Q4 2012</v>
      </c>
      <c r="M7" s="62" t="str">
        <f>'(FnCalls 1)'!H11</f>
        <v>2012</v>
      </c>
    </row>
    <row r="8" spans="1:13" ht="12.75" customHeight="1" x14ac:dyDescent="0.2">
      <c r="A8" s="12" t="str">
        <f>Labels!B15</f>
        <v>Cash Flow - Equity Fin</v>
      </c>
      <c r="B8" s="107">
        <f>SUM(B14:B18)</f>
        <v>0</v>
      </c>
      <c r="C8" s="108">
        <f>SUM(B14:B18)</f>
        <v>0</v>
      </c>
      <c r="D8" s="107">
        <f>SUM(D14:D18)</f>
        <v>0</v>
      </c>
      <c r="E8" s="107">
        <f>SUM(E14:E18)</f>
        <v>0</v>
      </c>
      <c r="F8" s="107">
        <f>SUM(F14:F18)</f>
        <v>0</v>
      </c>
      <c r="G8" s="107">
        <f>SUM(G14:G18)</f>
        <v>0</v>
      </c>
      <c r="H8" s="108">
        <f>SUM(D8:G8)</f>
        <v>0</v>
      </c>
      <c r="I8" s="107">
        <f>SUM(I14:I18)</f>
        <v>0</v>
      </c>
      <c r="J8" s="107">
        <f>SUM(J14:J18)</f>
        <v>0</v>
      </c>
      <c r="K8" s="107">
        <f>SUM(K14:K18)</f>
        <v>0</v>
      </c>
      <c r="L8" s="107">
        <f>SUM(L14:L18)</f>
        <v>0</v>
      </c>
      <c r="M8" s="108">
        <f>SUM(I8:L8)</f>
        <v>0</v>
      </c>
    </row>
    <row r="10" spans="1:13" ht="12.75" customHeight="1" x14ac:dyDescent="0.2">
      <c r="A10" s="3" t="str">
        <f>"Cash Flow - Detail"</f>
        <v>Cash Flow - Detail</v>
      </c>
    </row>
    <row r="11" spans="1:13" ht="12.75" hidden="1" customHeight="1" outlineLevel="1" x14ac:dyDescent="0.2">
      <c r="A11" s="3" t="str">
        <f>" "</f>
        <v xml:space="preserve"> </v>
      </c>
    </row>
    <row r="12" spans="1:13" ht="12.75" hidden="1" customHeight="1" outlineLevel="1" x14ac:dyDescent="0.2">
      <c r="B12" s="17" t="str">
        <f>'(FnCalls 1)'!G6</f>
        <v>Q4 2010</v>
      </c>
      <c r="C12" s="62" t="str">
        <f>'(FnCalls 1)'!H4</f>
        <v>2010</v>
      </c>
      <c r="D12" s="18" t="str">
        <f>'(FnCalls 1)'!G7</f>
        <v>Q1 2011</v>
      </c>
      <c r="E12" s="18" t="str">
        <f>'(FnCalls 1)'!G8</f>
        <v>Q2 2011</v>
      </c>
      <c r="F12" s="18" t="str">
        <f>'(FnCalls 1)'!G9</f>
        <v>Q3 2011</v>
      </c>
      <c r="G12" s="18" t="str">
        <f>'(FnCalls 1)'!G10</f>
        <v>Q4 2011</v>
      </c>
      <c r="H12" s="62" t="str">
        <f>'(FnCalls 1)'!H7</f>
        <v>2011</v>
      </c>
      <c r="I12" s="18" t="str">
        <f>'(FnCalls 1)'!G11</f>
        <v>Q1 2012</v>
      </c>
      <c r="J12" s="18" t="str">
        <f>'(FnCalls 1)'!G12</f>
        <v>Q2 2012</v>
      </c>
      <c r="K12" s="18" t="str">
        <f>'(FnCalls 1)'!G13</f>
        <v>Q3 2012</v>
      </c>
      <c r="L12" s="18" t="str">
        <f>'(FnCalls 1)'!G14</f>
        <v>Q4 2012</v>
      </c>
      <c r="M12" s="62" t="str">
        <f>'(FnCalls 1)'!H11</f>
        <v>2012</v>
      </c>
    </row>
    <row r="13" spans="1:13" ht="12.75" hidden="1" customHeight="1" outlineLevel="1" x14ac:dyDescent="0.2">
      <c r="A13" s="111" t="str">
        <f>Labels!B15</f>
        <v>Cash Flow - Equity Fin</v>
      </c>
      <c r="B13" s="110"/>
      <c r="C13" s="75"/>
      <c r="D13" s="110"/>
      <c r="E13" s="110"/>
      <c r="F13" s="110"/>
      <c r="G13" s="110"/>
      <c r="H13" s="75"/>
      <c r="I13" s="110"/>
      <c r="J13" s="110"/>
      <c r="K13" s="110"/>
      <c r="L13" s="110"/>
      <c r="M13" s="75"/>
    </row>
    <row r="14" spans="1:13" ht="12.75" hidden="1" customHeight="1" outlineLevel="1" x14ac:dyDescent="0.2">
      <c r="A14" s="114" t="str">
        <f>"   "&amp;Labels!B145</f>
        <v xml:space="preserve">   EBITDA</v>
      </c>
      <c r="B14" s="113">
        <f>'Equity Fin'!B18</f>
        <v>0</v>
      </c>
      <c r="C14" s="69">
        <f>'Equity Fin'!B18</f>
        <v>0</v>
      </c>
      <c r="D14" s="113">
        <f>'Equity Fin'!D18</f>
        <v>0</v>
      </c>
      <c r="E14" s="113">
        <f>'Equity Fin'!E18</f>
        <v>0</v>
      </c>
      <c r="F14" s="113">
        <f>'Equity Fin'!F18</f>
        <v>0</v>
      </c>
      <c r="G14" s="113">
        <f>'Equity Fin'!G18</f>
        <v>0</v>
      </c>
      <c r="H14" s="69">
        <f t="shared" ref="H14:H19" si="0">SUM(D14:G14)</f>
        <v>0</v>
      </c>
      <c r="I14" s="113">
        <f>'Equity Fin'!I18</f>
        <v>0</v>
      </c>
      <c r="J14" s="113">
        <f>'Equity Fin'!J18</f>
        <v>0</v>
      </c>
      <c r="K14" s="113">
        <f>'Equity Fin'!K18</f>
        <v>0</v>
      </c>
      <c r="L14" s="113">
        <f>'Equity Fin'!L18</f>
        <v>0</v>
      </c>
      <c r="M14" s="69">
        <f t="shared" ref="M14:M19" si="1">SUM(I14:L14)</f>
        <v>0</v>
      </c>
    </row>
    <row r="15" spans="1:13" ht="12.75" hidden="1" customHeight="1" outlineLevel="1" x14ac:dyDescent="0.2">
      <c r="A15" s="114" t="str">
        <f>"   "&amp;Labels!B146</f>
        <v xml:space="preserve">   Fixed Invest</v>
      </c>
      <c r="B15" s="113">
        <f>'Equity Fin'!B19</f>
        <v>0</v>
      </c>
      <c r="C15" s="69">
        <f>'Equity Fin'!B19</f>
        <v>0</v>
      </c>
      <c r="D15" s="113">
        <f>'Equity Fin'!D19</f>
        <v>0</v>
      </c>
      <c r="E15" s="113">
        <f>'Equity Fin'!E19</f>
        <v>0</v>
      </c>
      <c r="F15" s="113">
        <f>'Equity Fin'!F19</f>
        <v>0</v>
      </c>
      <c r="G15" s="113">
        <f>'Equity Fin'!G19</f>
        <v>0</v>
      </c>
      <c r="H15" s="69">
        <f t="shared" si="0"/>
        <v>0</v>
      </c>
      <c r="I15" s="113">
        <f>'Equity Fin'!I19</f>
        <v>0</v>
      </c>
      <c r="J15" s="113">
        <f>'Equity Fin'!J19</f>
        <v>0</v>
      </c>
      <c r="K15" s="113">
        <f>'Equity Fin'!K19</f>
        <v>0</v>
      </c>
      <c r="L15" s="113">
        <f>'Equity Fin'!L19</f>
        <v>0</v>
      </c>
      <c r="M15" s="69">
        <f t="shared" si="1"/>
        <v>0</v>
      </c>
    </row>
    <row r="16" spans="1:13" ht="12.75" hidden="1" customHeight="1" outlineLevel="1" x14ac:dyDescent="0.2">
      <c r="A16" s="114" t="str">
        <f>"   "&amp;Labels!B147</f>
        <v xml:space="preserve">   Inv Tax Credit</v>
      </c>
      <c r="B16" s="113">
        <f>'Equity Fin'!B20</f>
        <v>0</v>
      </c>
      <c r="C16" s="69">
        <f>'Equity Fin'!B20</f>
        <v>0</v>
      </c>
      <c r="D16" s="113">
        <f>'Equity Fin'!D20</f>
        <v>0</v>
      </c>
      <c r="E16" s="113">
        <f>'Equity Fin'!E20</f>
        <v>0</v>
      </c>
      <c r="F16" s="113">
        <f>'Equity Fin'!F20</f>
        <v>0</v>
      </c>
      <c r="G16" s="113">
        <f>'Equity Fin'!G20</f>
        <v>0</v>
      </c>
      <c r="H16" s="69">
        <f t="shared" si="0"/>
        <v>0</v>
      </c>
      <c r="I16" s="113">
        <f>'Equity Fin'!I20</f>
        <v>0</v>
      </c>
      <c r="J16" s="113">
        <f>'Equity Fin'!J20</f>
        <v>0</v>
      </c>
      <c r="K16" s="113">
        <f>'Equity Fin'!K20</f>
        <v>0</v>
      </c>
      <c r="L16" s="113">
        <f>'Equity Fin'!L20</f>
        <v>0</v>
      </c>
      <c r="M16" s="69">
        <f t="shared" si="1"/>
        <v>0</v>
      </c>
    </row>
    <row r="17" spans="1:13" ht="12.75" hidden="1" customHeight="1" outlineLevel="1" x14ac:dyDescent="0.2">
      <c r="A17" s="114" t="str">
        <f>"   "&amp;Labels!B148</f>
        <v xml:space="preserve">   Working Cap</v>
      </c>
      <c r="B17" s="113">
        <f>'Equity Fin'!B21</f>
        <v>0</v>
      </c>
      <c r="C17" s="69">
        <f>'Equity Fin'!B21</f>
        <v>0</v>
      </c>
      <c r="D17" s="113">
        <f>'Equity Fin'!D21</f>
        <v>0</v>
      </c>
      <c r="E17" s="113">
        <f>'Equity Fin'!E21</f>
        <v>0</v>
      </c>
      <c r="F17" s="113">
        <f>'Equity Fin'!F21</f>
        <v>0</v>
      </c>
      <c r="G17" s="113">
        <f>'Equity Fin'!G21</f>
        <v>0</v>
      </c>
      <c r="H17" s="69">
        <f t="shared" si="0"/>
        <v>0</v>
      </c>
      <c r="I17" s="113">
        <f>'Equity Fin'!I21</f>
        <v>0</v>
      </c>
      <c r="J17" s="113">
        <f>'Equity Fin'!J21</f>
        <v>0</v>
      </c>
      <c r="K17" s="113">
        <f>'Equity Fin'!K21</f>
        <v>0</v>
      </c>
      <c r="L17" s="113">
        <f>'Equity Fin'!L21</f>
        <v>0</v>
      </c>
      <c r="M17" s="69">
        <f t="shared" si="1"/>
        <v>0</v>
      </c>
    </row>
    <row r="18" spans="1:13" ht="12.75" hidden="1" customHeight="1" outlineLevel="1" x14ac:dyDescent="0.2">
      <c r="A18" s="114" t="str">
        <f>"   "&amp;Labels!B149</f>
        <v xml:space="preserve">   Income Tax</v>
      </c>
      <c r="B18" s="113">
        <f>'Equity Fin'!B22</f>
        <v>0</v>
      </c>
      <c r="C18" s="69">
        <f>'Equity Fin'!B22</f>
        <v>0</v>
      </c>
      <c r="D18" s="113">
        <f>'Equity Fin'!D22</f>
        <v>0</v>
      </c>
      <c r="E18" s="113">
        <f>'Equity Fin'!E22</f>
        <v>0</v>
      </c>
      <c r="F18" s="113">
        <f>'Equity Fin'!F22</f>
        <v>0</v>
      </c>
      <c r="G18" s="113">
        <f>'Equity Fin'!G22</f>
        <v>0</v>
      </c>
      <c r="H18" s="69">
        <f t="shared" si="0"/>
        <v>0</v>
      </c>
      <c r="I18" s="113">
        <f>'Equity Fin'!I22</f>
        <v>0</v>
      </c>
      <c r="J18" s="113">
        <f>'Equity Fin'!J22</f>
        <v>0</v>
      </c>
      <c r="K18" s="113">
        <f>'Equity Fin'!K22</f>
        <v>0</v>
      </c>
      <c r="L18" s="113">
        <f>'Equity Fin'!L22</f>
        <v>0</v>
      </c>
      <c r="M18" s="69">
        <f t="shared" si="1"/>
        <v>0</v>
      </c>
    </row>
    <row r="19" spans="1:13" ht="12.75" hidden="1" customHeight="1" outlineLevel="1" x14ac:dyDescent="0.2">
      <c r="A19" s="121" t="str">
        <f>"   "&amp;Labels!C144</f>
        <v xml:space="preserve">   Total</v>
      </c>
      <c r="B19" s="132">
        <f>SUM(B14:B18)</f>
        <v>0</v>
      </c>
      <c r="C19" s="70">
        <f>SUM(B14:B18)</f>
        <v>0</v>
      </c>
      <c r="D19" s="132">
        <f>SUM(D14:D18)</f>
        <v>0</v>
      </c>
      <c r="E19" s="132">
        <f>SUM(E14:E18)</f>
        <v>0</v>
      </c>
      <c r="F19" s="132">
        <f>SUM(F14:F18)</f>
        <v>0</v>
      </c>
      <c r="G19" s="132">
        <f>SUM(G14:G18)</f>
        <v>0</v>
      </c>
      <c r="H19" s="70">
        <f t="shared" si="0"/>
        <v>0</v>
      </c>
      <c r="I19" s="132">
        <f>SUM(I14:I18)</f>
        <v>0</v>
      </c>
      <c r="J19" s="132">
        <f>SUM(J14:J18)</f>
        <v>0</v>
      </c>
      <c r="K19" s="132">
        <f>SUM(K14:K18)</f>
        <v>0</v>
      </c>
      <c r="L19" s="132">
        <f>SUM(L14:L18)</f>
        <v>0</v>
      </c>
      <c r="M19" s="70">
        <f t="shared" si="1"/>
        <v>0</v>
      </c>
    </row>
    <row r="20" spans="1:13" ht="12.75" hidden="1" customHeight="1" outlineLevel="1" collapsed="1" x14ac:dyDescent="0.2"/>
    <row r="21" spans="1:13" ht="12.75" customHeight="1" collapsed="1" x14ac:dyDescent="0.2">
      <c r="A21" s="272" t="str">
        <f>"Cash Flow - Fixed Investment"</f>
        <v>Cash Flow - Fixed Investment</v>
      </c>
      <c r="B21" s="272"/>
    </row>
    <row r="22" spans="1:13" ht="12.75" hidden="1" customHeight="1" outlineLevel="1" x14ac:dyDescent="0.2">
      <c r="A22" s="272" t="str">
        <f>""</f>
        <v/>
      </c>
      <c r="B22" s="272"/>
    </row>
    <row r="23" spans="1:13" ht="12.75" hidden="1" customHeight="1" outlineLevel="1" x14ac:dyDescent="0.2">
      <c r="B23" s="17" t="str">
        <f>'(FnCalls 1)'!G6</f>
        <v>Q4 2010</v>
      </c>
      <c r="C23" s="62" t="str">
        <f>'(FnCalls 1)'!H4</f>
        <v>2010</v>
      </c>
      <c r="D23" s="18" t="str">
        <f>'(FnCalls 1)'!G7</f>
        <v>Q1 2011</v>
      </c>
      <c r="E23" s="18" t="str">
        <f>'(FnCalls 1)'!G8</f>
        <v>Q2 2011</v>
      </c>
      <c r="F23" s="18" t="str">
        <f>'(FnCalls 1)'!G9</f>
        <v>Q3 2011</v>
      </c>
      <c r="G23" s="18" t="str">
        <f>'(FnCalls 1)'!G10</f>
        <v>Q4 2011</v>
      </c>
      <c r="H23" s="62" t="str">
        <f>'(FnCalls 1)'!H7</f>
        <v>2011</v>
      </c>
      <c r="I23" s="18" t="str">
        <f>'(FnCalls 1)'!G11</f>
        <v>Q1 2012</v>
      </c>
      <c r="J23" s="18" t="str">
        <f>'(FnCalls 1)'!G12</f>
        <v>Q2 2012</v>
      </c>
      <c r="K23" s="18" t="str">
        <f>'(FnCalls 1)'!G13</f>
        <v>Q3 2012</v>
      </c>
      <c r="L23" s="18" t="str">
        <f>'(FnCalls 1)'!G14</f>
        <v>Q4 2012</v>
      </c>
      <c r="M23" s="62" t="str">
        <f>'(FnCalls 1)'!H11</f>
        <v>2012</v>
      </c>
    </row>
    <row r="24" spans="1:13" ht="12.75" hidden="1" customHeight="1" outlineLevel="1" x14ac:dyDescent="0.2">
      <c r="A24" s="111" t="str">
        <f>Labels!B17</f>
        <v xml:space="preserve">Cash Flow - Fixed Investment </v>
      </c>
      <c r="B24" s="110"/>
      <c r="C24" s="75"/>
      <c r="D24" s="110"/>
      <c r="E24" s="110"/>
      <c r="F24" s="110"/>
      <c r="G24" s="110"/>
      <c r="H24" s="75"/>
      <c r="I24" s="110"/>
      <c r="J24" s="110"/>
      <c r="K24" s="110"/>
      <c r="L24" s="110"/>
      <c r="M24" s="75"/>
    </row>
    <row r="25" spans="1:13" ht="12.75" hidden="1" customHeight="1" outlineLevel="1" x14ac:dyDescent="0.2">
      <c r="A25" s="114" t="str">
        <f>"   "&amp;Labels!B166</f>
        <v xml:space="preserve">   Depreciable</v>
      </c>
      <c r="B25" s="113"/>
      <c r="C25" s="69"/>
      <c r="D25" s="113"/>
      <c r="E25" s="113"/>
      <c r="F25" s="113"/>
      <c r="G25" s="113"/>
      <c r="H25" s="69"/>
      <c r="I25" s="113"/>
      <c r="J25" s="113"/>
      <c r="K25" s="113"/>
      <c r="L25" s="113"/>
      <c r="M25" s="69"/>
    </row>
    <row r="26" spans="1:13" ht="12.75" hidden="1" customHeight="1" outlineLevel="1" x14ac:dyDescent="0.2">
      <c r="A26" s="144" t="str">
        <f>"      "&amp;Labels!B170</f>
        <v xml:space="preserve">      Invest 1</v>
      </c>
      <c r="B26" s="116">
        <f>'Equity Fin'!B62</f>
        <v>0</v>
      </c>
      <c r="C26" s="69">
        <f>'Equity Fin'!B62</f>
        <v>0</v>
      </c>
      <c r="D26" s="116">
        <f>'Equity Fin'!D62</f>
        <v>0</v>
      </c>
      <c r="E26" s="116">
        <f>'Equity Fin'!E62</f>
        <v>0</v>
      </c>
      <c r="F26" s="116">
        <f>'Equity Fin'!F62</f>
        <v>0</v>
      </c>
      <c r="G26" s="116">
        <f>'Equity Fin'!G62</f>
        <v>0</v>
      </c>
      <c r="H26" s="69">
        <f>SUM(D26:G26)</f>
        <v>0</v>
      </c>
      <c r="I26" s="116">
        <f>'Equity Fin'!I62</f>
        <v>0</v>
      </c>
      <c r="J26" s="116">
        <f>'Equity Fin'!J62</f>
        <v>0</v>
      </c>
      <c r="K26" s="116">
        <f>'Equity Fin'!K62</f>
        <v>0</v>
      </c>
      <c r="L26" s="116">
        <f>'Equity Fin'!L62</f>
        <v>0</v>
      </c>
      <c r="M26" s="69">
        <f>SUM(I26:L26)</f>
        <v>0</v>
      </c>
    </row>
    <row r="27" spans="1:13" ht="12.75" hidden="1" customHeight="1" outlineLevel="1" x14ac:dyDescent="0.2">
      <c r="A27" s="144" t="str">
        <f>"      "&amp;Labels!B171</f>
        <v xml:space="preserve">      Invest 2</v>
      </c>
      <c r="B27" s="116">
        <f>'Equity Fin'!B63</f>
        <v>0</v>
      </c>
      <c r="C27" s="69">
        <f>'Equity Fin'!B63</f>
        <v>0</v>
      </c>
      <c r="D27" s="116">
        <f>'Equity Fin'!D63</f>
        <v>0</v>
      </c>
      <c r="E27" s="116">
        <f>'Equity Fin'!E63</f>
        <v>0</v>
      </c>
      <c r="F27" s="116">
        <f>'Equity Fin'!F63</f>
        <v>0</v>
      </c>
      <c r="G27" s="116">
        <f>'Equity Fin'!G63</f>
        <v>0</v>
      </c>
      <c r="H27" s="69">
        <f>SUM(D27:G27)</f>
        <v>0</v>
      </c>
      <c r="I27" s="116">
        <f>'Equity Fin'!I63</f>
        <v>0</v>
      </c>
      <c r="J27" s="116">
        <f>'Equity Fin'!J63</f>
        <v>0</v>
      </c>
      <c r="K27" s="116">
        <f>'Equity Fin'!K63</f>
        <v>0</v>
      </c>
      <c r="L27" s="116">
        <f>'Equity Fin'!L63</f>
        <v>0</v>
      </c>
      <c r="M27" s="69">
        <f>SUM(I27:L27)</f>
        <v>0</v>
      </c>
    </row>
    <row r="28" spans="1:13" ht="12.75" hidden="1" customHeight="1" outlineLevel="1" x14ac:dyDescent="0.2">
      <c r="A28" s="114" t="str">
        <f>"      "&amp;Labels!C169</f>
        <v xml:space="preserve">      Total</v>
      </c>
      <c r="B28" s="113">
        <f>SUM(B26:B27)</f>
        <v>0</v>
      </c>
      <c r="C28" s="69">
        <f>SUM(B26:B27)</f>
        <v>0</v>
      </c>
      <c r="D28" s="113">
        <f>SUM(D26:D27)</f>
        <v>0</v>
      </c>
      <c r="E28" s="113">
        <f>SUM(E26:E27)</f>
        <v>0</v>
      </c>
      <c r="F28" s="113">
        <f>SUM(F26:F27)</f>
        <v>0</v>
      </c>
      <c r="G28" s="113">
        <f>SUM(G26:G27)</f>
        <v>0</v>
      </c>
      <c r="H28" s="69">
        <f>SUM(D28:G28)</f>
        <v>0</v>
      </c>
      <c r="I28" s="113">
        <f>SUM(I26:I27)</f>
        <v>0</v>
      </c>
      <c r="J28" s="113">
        <f>SUM(J26:J27)</f>
        <v>0</v>
      </c>
      <c r="K28" s="113">
        <f>SUM(K26:K27)</f>
        <v>0</v>
      </c>
      <c r="L28" s="113">
        <f>SUM(L26:L27)</f>
        <v>0</v>
      </c>
      <c r="M28" s="69">
        <f>SUM(I28:L28)</f>
        <v>0</v>
      </c>
    </row>
    <row r="29" spans="1:13" ht="12.75" hidden="1" customHeight="1" outlineLevel="1" x14ac:dyDescent="0.2">
      <c r="A29" s="114" t="str">
        <f>"   "&amp;Labels!B167</f>
        <v xml:space="preserve">   Non-Deprec</v>
      </c>
      <c r="B29" s="113"/>
      <c r="C29" s="69"/>
      <c r="D29" s="113"/>
      <c r="E29" s="113"/>
      <c r="F29" s="113"/>
      <c r="G29" s="113"/>
      <c r="H29" s="69"/>
      <c r="I29" s="113"/>
      <c r="J29" s="113"/>
      <c r="K29" s="113"/>
      <c r="L29" s="113"/>
      <c r="M29" s="69"/>
    </row>
    <row r="30" spans="1:13" ht="12.75" hidden="1" customHeight="1" outlineLevel="1" x14ac:dyDescent="0.2">
      <c r="A30" s="144" t="str">
        <f>"      "&amp;Labels!B170</f>
        <v xml:space="preserve">      Invest 1</v>
      </c>
      <c r="B30" s="116">
        <f>'Equity Fin'!B66</f>
        <v>0</v>
      </c>
      <c r="C30" s="69">
        <f>'Equity Fin'!B66</f>
        <v>0</v>
      </c>
      <c r="D30" s="116">
        <f>'Equity Fin'!D66</f>
        <v>0</v>
      </c>
      <c r="E30" s="116">
        <f>'Equity Fin'!E66</f>
        <v>0</v>
      </c>
      <c r="F30" s="116">
        <f>'Equity Fin'!F66</f>
        <v>0</v>
      </c>
      <c r="G30" s="116">
        <f>'Equity Fin'!G66</f>
        <v>0</v>
      </c>
      <c r="H30" s="69">
        <f t="shared" ref="H30:H35" si="2">SUM(D30:G30)</f>
        <v>0</v>
      </c>
      <c r="I30" s="116">
        <f>'Equity Fin'!I66</f>
        <v>0</v>
      </c>
      <c r="J30" s="116">
        <f>'Equity Fin'!J66</f>
        <v>0</v>
      </c>
      <c r="K30" s="116">
        <f>'Equity Fin'!K66</f>
        <v>0</v>
      </c>
      <c r="L30" s="116">
        <f>'Equity Fin'!L66</f>
        <v>0</v>
      </c>
      <c r="M30" s="69">
        <f t="shared" ref="M30:M35" si="3">SUM(I30:L30)</f>
        <v>0</v>
      </c>
    </row>
    <row r="31" spans="1:13" ht="12.75" hidden="1" customHeight="1" outlineLevel="1" x14ac:dyDescent="0.2">
      <c r="A31" s="144" t="str">
        <f>"      "&amp;Labels!B171</f>
        <v xml:space="preserve">      Invest 2</v>
      </c>
      <c r="B31" s="116">
        <f>'Equity Fin'!B67</f>
        <v>0</v>
      </c>
      <c r="C31" s="69">
        <f>'Equity Fin'!B67</f>
        <v>0</v>
      </c>
      <c r="D31" s="116">
        <f>'Equity Fin'!D67</f>
        <v>0</v>
      </c>
      <c r="E31" s="116">
        <f>'Equity Fin'!E67</f>
        <v>0</v>
      </c>
      <c r="F31" s="116">
        <f>'Equity Fin'!F67</f>
        <v>0</v>
      </c>
      <c r="G31" s="116">
        <f>'Equity Fin'!G67</f>
        <v>0</v>
      </c>
      <c r="H31" s="69">
        <f t="shared" si="2"/>
        <v>0</v>
      </c>
      <c r="I31" s="116">
        <f>'Equity Fin'!I67</f>
        <v>0</v>
      </c>
      <c r="J31" s="116">
        <f>'Equity Fin'!J67</f>
        <v>0</v>
      </c>
      <c r="K31" s="116">
        <f>'Equity Fin'!K67</f>
        <v>0</v>
      </c>
      <c r="L31" s="116">
        <f>'Equity Fin'!L67</f>
        <v>0</v>
      </c>
      <c r="M31" s="69">
        <f t="shared" si="3"/>
        <v>0</v>
      </c>
    </row>
    <row r="32" spans="1:13" ht="12.75" hidden="1" customHeight="1" outlineLevel="1" x14ac:dyDescent="0.2">
      <c r="A32" s="114" t="str">
        <f>"      "&amp;Labels!C169</f>
        <v xml:space="preserve">      Total</v>
      </c>
      <c r="B32" s="113">
        <f>SUM(B30:B31)</f>
        <v>0</v>
      </c>
      <c r="C32" s="69">
        <f>SUM(B30:B31)</f>
        <v>0</v>
      </c>
      <c r="D32" s="113">
        <f>SUM(D30:D31)</f>
        <v>0</v>
      </c>
      <c r="E32" s="113">
        <f>SUM(E30:E31)</f>
        <v>0</v>
      </c>
      <c r="F32" s="113">
        <f>SUM(F30:F31)</f>
        <v>0</v>
      </c>
      <c r="G32" s="113">
        <f>SUM(G30:G31)</f>
        <v>0</v>
      </c>
      <c r="H32" s="69">
        <f t="shared" si="2"/>
        <v>0</v>
      </c>
      <c r="I32" s="113">
        <f>SUM(I30:I31)</f>
        <v>0</v>
      </c>
      <c r="J32" s="113">
        <f>SUM(J30:J31)</f>
        <v>0</v>
      </c>
      <c r="K32" s="113">
        <f>SUM(K30:K31)</f>
        <v>0</v>
      </c>
      <c r="L32" s="113">
        <f>SUM(L30:L31)</f>
        <v>0</v>
      </c>
      <c r="M32" s="69">
        <f t="shared" si="3"/>
        <v>0</v>
      </c>
    </row>
    <row r="33" spans="1:13" ht="12.75" hidden="1" customHeight="1" outlineLevel="1" x14ac:dyDescent="0.2">
      <c r="A33" s="117" t="str">
        <f>"   "&amp;Labels!C165</f>
        <v xml:space="preserve">   Total</v>
      </c>
      <c r="B33" s="120">
        <f>SUM(B28,B32)</f>
        <v>0</v>
      </c>
      <c r="C33" s="69">
        <f>SUM(B28,B32)</f>
        <v>0</v>
      </c>
      <c r="D33" s="120">
        <f>SUM(D28,D32)</f>
        <v>0</v>
      </c>
      <c r="E33" s="120">
        <f>SUM(E28,E32)</f>
        <v>0</v>
      </c>
      <c r="F33" s="120">
        <f>SUM(F28,F32)</f>
        <v>0</v>
      </c>
      <c r="G33" s="120">
        <f>SUM(G28,G32)</f>
        <v>0</v>
      </c>
      <c r="H33" s="69">
        <f t="shared" si="2"/>
        <v>0</v>
      </c>
      <c r="I33" s="120">
        <f>SUM(I28,I32)</f>
        <v>0</v>
      </c>
      <c r="J33" s="120">
        <f>SUM(J28,J32)</f>
        <v>0</v>
      </c>
      <c r="K33" s="120">
        <f>SUM(K28,K32)</f>
        <v>0</v>
      </c>
      <c r="L33" s="120">
        <f>SUM(L28,L32)</f>
        <v>0</v>
      </c>
      <c r="M33" s="69">
        <f t="shared" si="3"/>
        <v>0</v>
      </c>
    </row>
    <row r="34" spans="1:13" ht="12.75" hidden="1" customHeight="1" outlineLevel="1" x14ac:dyDescent="0.2">
      <c r="A34" s="144" t="str">
        <f>"      "&amp;Labels!B170</f>
        <v xml:space="preserve">      Invest 1</v>
      </c>
      <c r="B34" s="116">
        <f>SUM(B26,B30)</f>
        <v>0</v>
      </c>
      <c r="C34" s="69">
        <f>SUM(B26,B30)</f>
        <v>0</v>
      </c>
      <c r="D34" s="116">
        <f t="shared" ref="D34:G36" si="4">SUM(D26,D30)</f>
        <v>0</v>
      </c>
      <c r="E34" s="116">
        <f t="shared" si="4"/>
        <v>0</v>
      </c>
      <c r="F34" s="116">
        <f t="shared" si="4"/>
        <v>0</v>
      </c>
      <c r="G34" s="116">
        <f t="shared" si="4"/>
        <v>0</v>
      </c>
      <c r="H34" s="69">
        <f t="shared" si="2"/>
        <v>0</v>
      </c>
      <c r="I34" s="116">
        <f t="shared" ref="I34:L36" si="5">SUM(I26,I30)</f>
        <v>0</v>
      </c>
      <c r="J34" s="116">
        <f t="shared" si="5"/>
        <v>0</v>
      </c>
      <c r="K34" s="116">
        <f t="shared" si="5"/>
        <v>0</v>
      </c>
      <c r="L34" s="116">
        <f t="shared" si="5"/>
        <v>0</v>
      </c>
      <c r="M34" s="69">
        <f t="shared" si="3"/>
        <v>0</v>
      </c>
    </row>
    <row r="35" spans="1:13" ht="12.75" hidden="1" customHeight="1" outlineLevel="1" x14ac:dyDescent="0.2">
      <c r="A35" s="144" t="str">
        <f>"      "&amp;Labels!B171</f>
        <v xml:space="preserve">      Invest 2</v>
      </c>
      <c r="B35" s="116">
        <f>SUM(B27,B31)</f>
        <v>0</v>
      </c>
      <c r="C35" s="69">
        <f>SUM(B27,B31)</f>
        <v>0</v>
      </c>
      <c r="D35" s="116">
        <f t="shared" si="4"/>
        <v>0</v>
      </c>
      <c r="E35" s="116">
        <f t="shared" si="4"/>
        <v>0</v>
      </c>
      <c r="F35" s="116">
        <f t="shared" si="4"/>
        <v>0</v>
      </c>
      <c r="G35" s="116">
        <f t="shared" si="4"/>
        <v>0</v>
      </c>
      <c r="H35" s="69">
        <f t="shared" si="2"/>
        <v>0</v>
      </c>
      <c r="I35" s="116">
        <f t="shared" si="5"/>
        <v>0</v>
      </c>
      <c r="J35" s="116">
        <f t="shared" si="5"/>
        <v>0</v>
      </c>
      <c r="K35" s="116">
        <f t="shared" si="5"/>
        <v>0</v>
      </c>
      <c r="L35" s="116">
        <f t="shared" si="5"/>
        <v>0</v>
      </c>
      <c r="M35" s="69">
        <f t="shared" si="3"/>
        <v>0</v>
      </c>
    </row>
    <row r="36" spans="1:13" ht="12.75" hidden="1" customHeight="1" outlineLevel="1" x14ac:dyDescent="0.2">
      <c r="A36" s="145" t="str">
        <f>"      "&amp;Labels!C169</f>
        <v xml:space="preserve">      Total</v>
      </c>
      <c r="B36" s="123">
        <f>SUM(B28,B32)</f>
        <v>0</v>
      </c>
      <c r="C36" s="70">
        <f>SUM(B28,B32)</f>
        <v>0</v>
      </c>
      <c r="D36" s="123">
        <f t="shared" si="4"/>
        <v>0</v>
      </c>
      <c r="E36" s="123">
        <f t="shared" si="4"/>
        <v>0</v>
      </c>
      <c r="F36" s="123">
        <f t="shared" si="4"/>
        <v>0</v>
      </c>
      <c r="G36" s="123">
        <f t="shared" si="4"/>
        <v>0</v>
      </c>
      <c r="H36" s="70">
        <f>SUM(D33:G33)</f>
        <v>0</v>
      </c>
      <c r="I36" s="123">
        <f t="shared" si="5"/>
        <v>0</v>
      </c>
      <c r="J36" s="123">
        <f t="shared" si="5"/>
        <v>0</v>
      </c>
      <c r="K36" s="123">
        <f t="shared" si="5"/>
        <v>0</v>
      </c>
      <c r="L36" s="123">
        <f t="shared" si="5"/>
        <v>0</v>
      </c>
      <c r="M36" s="70">
        <f>SUM(I33:L33)</f>
        <v>0</v>
      </c>
    </row>
    <row r="37" spans="1:13" ht="12.75" hidden="1" customHeight="1" outlineLevel="1" collapsed="1" x14ac:dyDescent="0.2"/>
    <row r="38" spans="1:13" ht="12.75" customHeight="1" collapsed="1" x14ac:dyDescent="0.2">
      <c r="A38" s="272" t="str">
        <f>"Cash Flow - Working Capital"</f>
        <v>Cash Flow - Working Capital</v>
      </c>
      <c r="B38" s="272"/>
    </row>
    <row r="39" spans="1:13" ht="12.75" hidden="1" customHeight="1" outlineLevel="1" x14ac:dyDescent="0.2">
      <c r="A39" s="272" t="str">
        <f>""</f>
        <v/>
      </c>
      <c r="B39" s="272"/>
    </row>
    <row r="40" spans="1:13" ht="12.75" hidden="1" customHeight="1" outlineLevel="1" x14ac:dyDescent="0.2">
      <c r="B40" s="17" t="str">
        <f>'(FnCalls 1)'!G6</f>
        <v>Q4 2010</v>
      </c>
      <c r="C40" s="62" t="str">
        <f>'(FnCalls 1)'!H4</f>
        <v>2010</v>
      </c>
      <c r="D40" s="18" t="str">
        <f>'(FnCalls 1)'!G7</f>
        <v>Q1 2011</v>
      </c>
      <c r="E40" s="18" t="str">
        <f>'(FnCalls 1)'!G8</f>
        <v>Q2 2011</v>
      </c>
      <c r="F40" s="18" t="str">
        <f>'(FnCalls 1)'!G9</f>
        <v>Q3 2011</v>
      </c>
      <c r="G40" s="18" t="str">
        <f>'(FnCalls 1)'!G10</f>
        <v>Q4 2011</v>
      </c>
      <c r="H40" s="62" t="str">
        <f>'(FnCalls 1)'!H7</f>
        <v>2011</v>
      </c>
      <c r="I40" s="18" t="str">
        <f>'(FnCalls 1)'!G11</f>
        <v>Q1 2012</v>
      </c>
      <c r="J40" s="18" t="str">
        <f>'(FnCalls 1)'!G12</f>
        <v>Q2 2012</v>
      </c>
      <c r="K40" s="18" t="str">
        <f>'(FnCalls 1)'!G13</f>
        <v>Q3 2012</v>
      </c>
      <c r="L40" s="18" t="str">
        <f>'(FnCalls 1)'!G14</f>
        <v>Q4 2012</v>
      </c>
      <c r="M40" s="62" t="str">
        <f>'(FnCalls 1)'!H11</f>
        <v>2012</v>
      </c>
    </row>
    <row r="41" spans="1:13" ht="12.75" hidden="1" customHeight="1" outlineLevel="1" x14ac:dyDescent="0.2">
      <c r="A41" s="111" t="str">
        <f>Labels!B21</f>
        <v>Cash Flow - Working Cap</v>
      </c>
      <c r="B41" s="110"/>
      <c r="C41" s="75"/>
      <c r="D41" s="110"/>
      <c r="E41" s="110"/>
      <c r="F41" s="110"/>
      <c r="G41" s="110"/>
      <c r="H41" s="75"/>
      <c r="I41" s="110"/>
      <c r="J41" s="110"/>
      <c r="K41" s="110"/>
      <c r="L41" s="110"/>
      <c r="M41" s="75"/>
    </row>
    <row r="42" spans="1:13" ht="12.75" hidden="1" customHeight="1" outlineLevel="1" x14ac:dyDescent="0.2">
      <c r="A42" s="114" t="str">
        <f>"   "&amp;Labels!B190</f>
        <v xml:space="preserve">   Receivables</v>
      </c>
      <c r="B42" s="113">
        <f>'Equity Fin'!B119</f>
        <v>0</v>
      </c>
      <c r="C42" s="69">
        <f>'Equity Fin'!B119</f>
        <v>0</v>
      </c>
      <c r="D42" s="113">
        <f>'Equity Fin'!D119</f>
        <v>0</v>
      </c>
      <c r="E42" s="113">
        <f>'Equity Fin'!E119</f>
        <v>0</v>
      </c>
      <c r="F42" s="113">
        <f>'Equity Fin'!F119</f>
        <v>0</v>
      </c>
      <c r="G42" s="113">
        <f>'Equity Fin'!G119</f>
        <v>0</v>
      </c>
      <c r="H42" s="69">
        <f>SUM(D42:G42)</f>
        <v>0</v>
      </c>
      <c r="I42" s="113">
        <f>'Equity Fin'!I119</f>
        <v>0</v>
      </c>
      <c r="J42" s="113">
        <f>'Equity Fin'!J119</f>
        <v>0</v>
      </c>
      <c r="K42" s="113">
        <f>'Equity Fin'!K119</f>
        <v>0</v>
      </c>
      <c r="L42" s="113">
        <f>'Equity Fin'!L119</f>
        <v>0</v>
      </c>
      <c r="M42" s="69">
        <f>SUM(I42:L42)</f>
        <v>0</v>
      </c>
    </row>
    <row r="43" spans="1:13" ht="12.75" hidden="1" customHeight="1" outlineLevel="1" x14ac:dyDescent="0.2">
      <c r="A43" s="114" t="str">
        <f>"   "&amp;Labels!B191</f>
        <v xml:space="preserve">   Supplies inventory</v>
      </c>
      <c r="B43" s="113">
        <f>'Equity Fin'!B120</f>
        <v>0</v>
      </c>
      <c r="C43" s="69">
        <f>'Equity Fin'!B120</f>
        <v>0</v>
      </c>
      <c r="D43" s="113">
        <f>'Equity Fin'!D120</f>
        <v>0</v>
      </c>
      <c r="E43" s="113">
        <f>'Equity Fin'!E120</f>
        <v>0</v>
      </c>
      <c r="F43" s="113">
        <f>'Equity Fin'!F120</f>
        <v>0</v>
      </c>
      <c r="G43" s="113">
        <f>'Equity Fin'!G120</f>
        <v>0</v>
      </c>
      <c r="H43" s="69">
        <f>SUM(D43:G43)</f>
        <v>0</v>
      </c>
      <c r="I43" s="113">
        <f>'Equity Fin'!I120</f>
        <v>0</v>
      </c>
      <c r="J43" s="113">
        <f>'Equity Fin'!J120</f>
        <v>0</v>
      </c>
      <c r="K43" s="113">
        <f>'Equity Fin'!K120</f>
        <v>0</v>
      </c>
      <c r="L43" s="113">
        <f>'Equity Fin'!L120</f>
        <v>0</v>
      </c>
      <c r="M43" s="69">
        <f>SUM(I43:L43)</f>
        <v>0</v>
      </c>
    </row>
    <row r="44" spans="1:13" ht="12.75" hidden="1" customHeight="1" outlineLevel="1" x14ac:dyDescent="0.2">
      <c r="A44" s="117" t="str">
        <f>"   "&amp;Labels!C189</f>
        <v xml:space="preserve">   Total</v>
      </c>
      <c r="B44" s="120">
        <f>SUM(B42:B43)</f>
        <v>0</v>
      </c>
      <c r="C44" s="69">
        <f>SUM(B42:B43)</f>
        <v>0</v>
      </c>
      <c r="D44" s="120">
        <f>SUM(D42:D43)</f>
        <v>0</v>
      </c>
      <c r="E44" s="120">
        <f>SUM(E42:E43)</f>
        <v>0</v>
      </c>
      <c r="F44" s="120">
        <f>SUM(F42:F43)</f>
        <v>0</v>
      </c>
      <c r="G44" s="120">
        <f>SUM(G42:G43)</f>
        <v>0</v>
      </c>
      <c r="H44" s="69">
        <f>SUM(D44:G44)</f>
        <v>0</v>
      </c>
      <c r="I44" s="120">
        <f>SUM(I42:I43)</f>
        <v>0</v>
      </c>
      <c r="J44" s="120">
        <f>SUM(J42:J43)</f>
        <v>0</v>
      </c>
      <c r="K44" s="120">
        <f>SUM(K42:K43)</f>
        <v>0</v>
      </c>
      <c r="L44" s="120">
        <f>SUM(L42:L43)</f>
        <v>0</v>
      </c>
      <c r="M44" s="69">
        <f>SUM(I44:L44)</f>
        <v>0</v>
      </c>
    </row>
    <row r="45" spans="1:13" ht="12.75" hidden="1" customHeight="1" outlineLevel="1" x14ac:dyDescent="0.2">
      <c r="A45" s="117" t="str">
        <f>Labels!B131</f>
        <v>Working Capital</v>
      </c>
      <c r="B45" s="120"/>
      <c r="C45" s="69"/>
      <c r="D45" s="120"/>
      <c r="E45" s="120"/>
      <c r="F45" s="120"/>
      <c r="G45" s="120"/>
      <c r="H45" s="69"/>
      <c r="I45" s="120"/>
      <c r="J45" s="120"/>
      <c r="K45" s="120"/>
      <c r="L45" s="120"/>
      <c r="M45" s="69"/>
    </row>
    <row r="46" spans="1:13" ht="12.75" hidden="1" customHeight="1" outlineLevel="1" x14ac:dyDescent="0.2">
      <c r="A46" s="114" t="str">
        <f>"   "&amp;Labels!B190</f>
        <v xml:space="preserve">   Receivables</v>
      </c>
      <c r="B46" s="113">
        <f>Investment!B71</f>
        <v>0</v>
      </c>
      <c r="C46" s="69">
        <f>Investment!B71</f>
        <v>0</v>
      </c>
      <c r="D46" s="113">
        <f>Investment!D71</f>
        <v>0</v>
      </c>
      <c r="E46" s="113">
        <f>Investment!E71</f>
        <v>0</v>
      </c>
      <c r="F46" s="113">
        <f>Investment!F71</f>
        <v>0</v>
      </c>
      <c r="G46" s="113">
        <f>Investment!G71</f>
        <v>0</v>
      </c>
      <c r="H46" s="69">
        <f>Investment!G71</f>
        <v>0</v>
      </c>
      <c r="I46" s="113">
        <f>Investment!I71</f>
        <v>0</v>
      </c>
      <c r="J46" s="113">
        <f>Investment!J71</f>
        <v>0</v>
      </c>
      <c r="K46" s="113">
        <f>Investment!K71</f>
        <v>0</v>
      </c>
      <c r="L46" s="113">
        <f>Investment!L71</f>
        <v>0</v>
      </c>
      <c r="M46" s="69">
        <f>Investment!L71</f>
        <v>0</v>
      </c>
    </row>
    <row r="47" spans="1:13" ht="12.75" hidden="1" customHeight="1" outlineLevel="1" x14ac:dyDescent="0.2">
      <c r="A47" s="114" t="str">
        <f>"   "&amp;Labels!B191</f>
        <v xml:space="preserve">   Supplies inventory</v>
      </c>
      <c r="B47" s="113">
        <f>Investment!B72</f>
        <v>0</v>
      </c>
      <c r="C47" s="69">
        <f>Investment!B72</f>
        <v>0</v>
      </c>
      <c r="D47" s="113">
        <f>Investment!D72</f>
        <v>0</v>
      </c>
      <c r="E47" s="113">
        <f>Investment!E72</f>
        <v>0</v>
      </c>
      <c r="F47" s="113">
        <f>Investment!F72</f>
        <v>0</v>
      </c>
      <c r="G47" s="113">
        <f>Investment!G72</f>
        <v>0</v>
      </c>
      <c r="H47" s="69">
        <f>Investment!G72</f>
        <v>0</v>
      </c>
      <c r="I47" s="113">
        <f>Investment!I72</f>
        <v>0</v>
      </c>
      <c r="J47" s="113">
        <f>Investment!J72</f>
        <v>0</v>
      </c>
      <c r="K47" s="113">
        <f>Investment!K72</f>
        <v>0</v>
      </c>
      <c r="L47" s="113">
        <f>Investment!L72</f>
        <v>0</v>
      </c>
      <c r="M47" s="69">
        <f>Investment!L72</f>
        <v>0</v>
      </c>
    </row>
    <row r="48" spans="1:13" ht="12.75" hidden="1" customHeight="1" outlineLevel="1" x14ac:dyDescent="0.2">
      <c r="A48" s="121" t="str">
        <f>"   "&amp;Labels!C189</f>
        <v xml:space="preserve">   Total</v>
      </c>
      <c r="B48" s="132">
        <f>SUM(B46:B47)</f>
        <v>0</v>
      </c>
      <c r="C48" s="70">
        <f>SUM(B46:B47)</f>
        <v>0</v>
      </c>
      <c r="D48" s="132">
        <f>SUM(D46:D47)</f>
        <v>0</v>
      </c>
      <c r="E48" s="132">
        <f>SUM(E46:E47)</f>
        <v>0</v>
      </c>
      <c r="F48" s="132">
        <f>SUM(F46:F47)</f>
        <v>0</v>
      </c>
      <c r="G48" s="132">
        <f>SUM(G46:G47)</f>
        <v>0</v>
      </c>
      <c r="H48" s="70">
        <f>SUM(G46:G47)</f>
        <v>0</v>
      </c>
      <c r="I48" s="132">
        <f>SUM(I46:I47)</f>
        <v>0</v>
      </c>
      <c r="J48" s="132">
        <f>SUM(J46:J47)</f>
        <v>0</v>
      </c>
      <c r="K48" s="132">
        <f>SUM(K46:K47)</f>
        <v>0</v>
      </c>
      <c r="L48" s="132">
        <f>SUM(L46:L47)</f>
        <v>0</v>
      </c>
      <c r="M48" s="70">
        <f>SUM(L46:L47)</f>
        <v>0</v>
      </c>
    </row>
    <row r="49" spans="1:13" ht="12.75" hidden="1" customHeight="1" outlineLevel="1" collapsed="1" x14ac:dyDescent="0.2"/>
    <row r="50" spans="1:13" ht="12.75" customHeight="1" collapsed="1" x14ac:dyDescent="0.2"/>
    <row r="52" spans="1:13" ht="12.75" customHeight="1" x14ac:dyDescent="0.2">
      <c r="A52" s="2" t="str">
        <f>"Valuation"</f>
        <v>Valuation</v>
      </c>
    </row>
    <row r="53" spans="1:13" ht="12.75" hidden="1" customHeight="1" outlineLevel="1" x14ac:dyDescent="0.2">
      <c r="A53" s="2" t="str">
        <f>""</f>
        <v/>
      </c>
    </row>
    <row r="54" spans="1:13" ht="12.75" hidden="1" customHeight="1" outlineLevel="1" x14ac:dyDescent="0.2">
      <c r="B54" s="17" t="str">
        <f>'(FnCalls 1)'!G6</f>
        <v>Q4 2010</v>
      </c>
      <c r="C54" s="62" t="str">
        <f>'(FnCalls 1)'!H4</f>
        <v>2010</v>
      </c>
      <c r="D54" s="18" t="str">
        <f>'(FnCalls 1)'!G7</f>
        <v>Q1 2011</v>
      </c>
      <c r="E54" s="18" t="str">
        <f>'(FnCalls 1)'!G8</f>
        <v>Q2 2011</v>
      </c>
      <c r="F54" s="18" t="str">
        <f>'(FnCalls 1)'!G9</f>
        <v>Q3 2011</v>
      </c>
      <c r="G54" s="18" t="str">
        <f>'(FnCalls 1)'!G10</f>
        <v>Q4 2011</v>
      </c>
      <c r="H54" s="62" t="str">
        <f>'(FnCalls 1)'!H7</f>
        <v>2011</v>
      </c>
      <c r="I54" s="18" t="str">
        <f>'(FnCalls 1)'!G11</f>
        <v>Q1 2012</v>
      </c>
      <c r="J54" s="18" t="str">
        <f>'(FnCalls 1)'!G12</f>
        <v>Q2 2012</v>
      </c>
      <c r="K54" s="18" t="str">
        <f>'(FnCalls 1)'!G13</f>
        <v>Q3 2012</v>
      </c>
      <c r="L54" s="18" t="str">
        <f>'(FnCalls 1)'!G14</f>
        <v>Q4 2012</v>
      </c>
      <c r="M54" s="62" t="str">
        <f>'(FnCalls 1)'!H11</f>
        <v>2012</v>
      </c>
    </row>
    <row r="55" spans="1:13" ht="12.75" hidden="1" customHeight="1" outlineLevel="1" x14ac:dyDescent="0.2">
      <c r="A55" s="111" t="str">
        <f>Labels!B123</f>
        <v>Valuation</v>
      </c>
      <c r="B55" s="110">
        <f>'Blended Fin'!B9+'Blended Fin'!B9+D55/(1+'(Tables)'!D274)</f>
        <v>0</v>
      </c>
      <c r="C55" s="75">
        <f>B55</f>
        <v>0</v>
      </c>
      <c r="D55" s="110">
        <f>0+'Blended Fin'!D9+E55/(1+'(Tables)'!E274)</f>
        <v>0</v>
      </c>
      <c r="E55" s="110">
        <f>0+'Blended Fin'!E9+F55/(1+'(Tables)'!F274)</f>
        <v>0</v>
      </c>
      <c r="F55" s="110">
        <f>0+'Blended Fin'!F9+G55/(1+'(Tables)'!G274)</f>
        <v>0</v>
      </c>
      <c r="G55" s="110">
        <f>0+'Blended Fin'!G9+I55/(1+'(Tables)'!I274)</f>
        <v>0</v>
      </c>
      <c r="H55" s="75">
        <f>G55</f>
        <v>0</v>
      </c>
      <c r="I55" s="110">
        <f>0+'Blended Fin'!I9+J55/(1+'(Tables)'!J274)</f>
        <v>0</v>
      </c>
      <c r="J55" s="110">
        <f>0+'Blended Fin'!J9+K55/(1+'(Tables)'!K274)</f>
        <v>0</v>
      </c>
      <c r="K55" s="110">
        <f>0+'Blended Fin'!K9+L55/(1+'(Tables)'!L274)</f>
        <v>0</v>
      </c>
      <c r="L55" s="110">
        <f>0+'Blended Fin'!L9+'(Tables)'!B282</f>
        <v>0</v>
      </c>
      <c r="M55" s="75">
        <f>L55</f>
        <v>0</v>
      </c>
    </row>
    <row r="56" spans="1:13" ht="12.75" hidden="1" customHeight="1" outlineLevel="1" x14ac:dyDescent="0.2">
      <c r="A56" s="12"/>
      <c r="B56" s="10"/>
      <c r="C56" s="12"/>
      <c r="D56" s="10"/>
      <c r="E56" s="10"/>
      <c r="F56" s="10"/>
      <c r="G56" s="10"/>
      <c r="H56" s="12"/>
      <c r="I56" s="10"/>
      <c r="J56" s="10"/>
      <c r="K56" s="10"/>
      <c r="L56" s="10"/>
      <c r="M56" s="12"/>
    </row>
    <row r="57" spans="1:13" ht="12.75" hidden="1" customHeight="1" outlineLevel="1" x14ac:dyDescent="0.2">
      <c r="B57" s="17" t="str">
        <f>Labels!B145</f>
        <v>EBITDA</v>
      </c>
      <c r="C57" s="18" t="str">
        <f>Labels!B146</f>
        <v>Fixed Invest</v>
      </c>
      <c r="D57" s="18" t="str">
        <f>Labels!B147</f>
        <v>Inv Tax Credit</v>
      </c>
      <c r="E57" s="18" t="str">
        <f>Labels!B148</f>
        <v>Working Cap</v>
      </c>
      <c r="F57" s="18" t="str">
        <f>Labels!B149</f>
        <v>Income Tax</v>
      </c>
      <c r="G57" s="62" t="str">
        <f>Labels!C144</f>
        <v>Total</v>
      </c>
    </row>
    <row r="58" spans="1:13" ht="12.75" hidden="1" customHeight="1" outlineLevel="1" x14ac:dyDescent="0.2">
      <c r="A58" s="111" t="str">
        <f>Labels!B93</f>
        <v>NPV Equity Financing</v>
      </c>
      <c r="B58" s="110">
        <f>'Equity Fin'!B160</f>
        <v>0</v>
      </c>
      <c r="C58" s="110">
        <f>'Equity Fin'!C160</f>
        <v>0</v>
      </c>
      <c r="D58" s="110">
        <f>'Equity Fin'!D160</f>
        <v>0</v>
      </c>
      <c r="E58" s="110">
        <f>'Equity Fin'!E160</f>
        <v>0</v>
      </c>
      <c r="F58" s="110">
        <f>'Equity Fin'!F160</f>
        <v>0</v>
      </c>
      <c r="G58" s="75">
        <f>SUM(B58:F58)</f>
        <v>0</v>
      </c>
    </row>
    <row r="59" spans="1:13" ht="12.75" hidden="1" customHeight="1" outlineLevel="1" x14ac:dyDescent="0.2">
      <c r="A59" s="12"/>
      <c r="B59" s="10"/>
      <c r="C59" s="10"/>
      <c r="D59" s="10"/>
      <c r="E59" s="10"/>
      <c r="F59" s="10"/>
      <c r="G59" s="12"/>
    </row>
    <row r="60" spans="1:13" ht="12.75" hidden="1" customHeight="1" outlineLevel="1" x14ac:dyDescent="0.2">
      <c r="A60" s="12" t="str">
        <f>Labels!B119</f>
        <v>Tail NPV</v>
      </c>
      <c r="B60" s="108">
        <f>'Equity Fin'!B165</f>
        <v>0</v>
      </c>
    </row>
    <row r="61" spans="1:13" ht="12.75" hidden="1" customHeight="1" outlineLevel="1" x14ac:dyDescent="0.2"/>
    <row r="62" spans="1:13" ht="12.75" hidden="1" customHeight="1" outlineLevel="1" x14ac:dyDescent="0.2">
      <c r="A62" s="272" t="str">
        <f>"Discounted Cash Flow"</f>
        <v>Discounted Cash Flow</v>
      </c>
      <c r="B62" s="272"/>
    </row>
    <row r="63" spans="1:13" ht="12.75" hidden="1" customHeight="1" outlineLevel="2" x14ac:dyDescent="0.2">
      <c r="A63" s="272" t="str">
        <f>" "</f>
        <v xml:space="preserve"> </v>
      </c>
      <c r="B63" s="272"/>
    </row>
    <row r="64" spans="1:13" ht="12.75" hidden="1" customHeight="1" outlineLevel="2" x14ac:dyDescent="0.2">
      <c r="B64" s="17" t="str">
        <f>'(FnCalls 1)'!G6</f>
        <v>Q4 2010</v>
      </c>
      <c r="C64" s="62" t="str">
        <f>'(FnCalls 1)'!H4</f>
        <v>2010</v>
      </c>
      <c r="D64" s="18" t="str">
        <f>'(FnCalls 1)'!G7</f>
        <v>Q1 2011</v>
      </c>
      <c r="E64" s="18" t="str">
        <f>'(FnCalls 1)'!G8</f>
        <v>Q2 2011</v>
      </c>
      <c r="F64" s="18" t="str">
        <f>'(FnCalls 1)'!G9</f>
        <v>Q3 2011</v>
      </c>
      <c r="G64" s="18" t="str">
        <f>'(FnCalls 1)'!G10</f>
        <v>Q4 2011</v>
      </c>
      <c r="H64" s="62" t="str">
        <f>'(FnCalls 1)'!H7</f>
        <v>2011</v>
      </c>
      <c r="I64" s="18" t="str">
        <f>'(FnCalls 1)'!G11</f>
        <v>Q1 2012</v>
      </c>
      <c r="J64" s="18" t="str">
        <f>'(FnCalls 1)'!G12</f>
        <v>Q2 2012</v>
      </c>
      <c r="K64" s="18" t="str">
        <f>'(FnCalls 1)'!G13</f>
        <v>Q3 2012</v>
      </c>
      <c r="L64" s="18" t="str">
        <f>'(FnCalls 1)'!G14</f>
        <v>Q4 2012</v>
      </c>
      <c r="M64" s="62" t="str">
        <f>'(FnCalls 1)'!H11</f>
        <v>2012</v>
      </c>
    </row>
    <row r="65" spans="1:13" ht="12.75" hidden="1" customHeight="1" outlineLevel="2" x14ac:dyDescent="0.2">
      <c r="A65" s="111" t="str">
        <f>Labels!B28</f>
        <v>DCF - Equity Fin</v>
      </c>
      <c r="B65" s="110"/>
      <c r="C65" s="75"/>
      <c r="D65" s="110"/>
      <c r="E65" s="110"/>
      <c r="F65" s="110"/>
      <c r="G65" s="110"/>
      <c r="H65" s="75"/>
      <c r="I65" s="110"/>
      <c r="J65" s="110"/>
      <c r="K65" s="110"/>
      <c r="L65" s="110"/>
      <c r="M65" s="75"/>
    </row>
    <row r="66" spans="1:13" ht="12.75" hidden="1" customHeight="1" outlineLevel="2" x14ac:dyDescent="0.2">
      <c r="A66" s="114" t="str">
        <f>"   "&amp;Labels!B145</f>
        <v xml:space="preserve">   EBITDA</v>
      </c>
      <c r="B66" s="113">
        <f>'Equity Fin'!B174</f>
        <v>0</v>
      </c>
      <c r="C66" s="69">
        <f>'Equity Fin'!B174</f>
        <v>0</v>
      </c>
      <c r="D66" s="113">
        <f>'Equity Fin'!D174</f>
        <v>0</v>
      </c>
      <c r="E66" s="113">
        <f>'Equity Fin'!E174</f>
        <v>0</v>
      </c>
      <c r="F66" s="113">
        <f>'Equity Fin'!F174</f>
        <v>0</v>
      </c>
      <c r="G66" s="113">
        <f>'Equity Fin'!G174</f>
        <v>0</v>
      </c>
      <c r="H66" s="69">
        <f t="shared" ref="H66:H71" si="6">SUM(D66:G66)</f>
        <v>0</v>
      </c>
      <c r="I66" s="113">
        <f>'Equity Fin'!I174</f>
        <v>0</v>
      </c>
      <c r="J66" s="113">
        <f>'Equity Fin'!J174</f>
        <v>0</v>
      </c>
      <c r="K66" s="113">
        <f>'Equity Fin'!K174</f>
        <v>0</v>
      </c>
      <c r="L66" s="113">
        <f>'Equity Fin'!L174</f>
        <v>0</v>
      </c>
      <c r="M66" s="69">
        <f t="shared" ref="M66:M71" si="7">SUM(I66:L66)</f>
        <v>0</v>
      </c>
    </row>
    <row r="67" spans="1:13" ht="12.75" hidden="1" customHeight="1" outlineLevel="2" x14ac:dyDescent="0.2">
      <c r="A67" s="114" t="str">
        <f>"   "&amp;Labels!B146</f>
        <v xml:space="preserve">   Fixed Invest</v>
      </c>
      <c r="B67" s="113">
        <f>'Equity Fin'!B178</f>
        <v>0</v>
      </c>
      <c r="C67" s="69">
        <f>'Equity Fin'!B178</f>
        <v>0</v>
      </c>
      <c r="D67" s="113">
        <f>'Equity Fin'!D178</f>
        <v>0</v>
      </c>
      <c r="E67" s="113">
        <f>'Equity Fin'!E178</f>
        <v>0</v>
      </c>
      <c r="F67" s="113">
        <f>'Equity Fin'!F178</f>
        <v>0</v>
      </c>
      <c r="G67" s="113">
        <f>'Equity Fin'!G178</f>
        <v>0</v>
      </c>
      <c r="H67" s="69">
        <f t="shared" si="6"/>
        <v>0</v>
      </c>
      <c r="I67" s="113">
        <f>'Equity Fin'!I178</f>
        <v>0</v>
      </c>
      <c r="J67" s="113">
        <f>'Equity Fin'!J178</f>
        <v>0</v>
      </c>
      <c r="K67" s="113">
        <f>'Equity Fin'!K178</f>
        <v>0</v>
      </c>
      <c r="L67" s="113">
        <f>'Equity Fin'!L178</f>
        <v>0</v>
      </c>
      <c r="M67" s="69">
        <f t="shared" si="7"/>
        <v>0</v>
      </c>
    </row>
    <row r="68" spans="1:13" ht="12.75" hidden="1" customHeight="1" outlineLevel="2" x14ac:dyDescent="0.2">
      <c r="A68" s="114" t="str">
        <f>"   "&amp;Labels!B147</f>
        <v xml:space="preserve">   Inv Tax Credit</v>
      </c>
      <c r="B68" s="113">
        <f>'Equity Fin'!B182</f>
        <v>0</v>
      </c>
      <c r="C68" s="69">
        <f>'Equity Fin'!B182</f>
        <v>0</v>
      </c>
      <c r="D68" s="113">
        <f>'Equity Fin'!D182</f>
        <v>0</v>
      </c>
      <c r="E68" s="113">
        <f>'Equity Fin'!E182</f>
        <v>0</v>
      </c>
      <c r="F68" s="113">
        <f>'Equity Fin'!F182</f>
        <v>0</v>
      </c>
      <c r="G68" s="113">
        <f>'Equity Fin'!G182</f>
        <v>0</v>
      </c>
      <c r="H68" s="69">
        <f t="shared" si="6"/>
        <v>0</v>
      </c>
      <c r="I68" s="113">
        <f>'Equity Fin'!I182</f>
        <v>0</v>
      </c>
      <c r="J68" s="113">
        <f>'Equity Fin'!J182</f>
        <v>0</v>
      </c>
      <c r="K68" s="113">
        <f>'Equity Fin'!K182</f>
        <v>0</v>
      </c>
      <c r="L68" s="113">
        <f>'Equity Fin'!L182</f>
        <v>0</v>
      </c>
      <c r="M68" s="69">
        <f t="shared" si="7"/>
        <v>0</v>
      </c>
    </row>
    <row r="69" spans="1:13" ht="12.75" hidden="1" customHeight="1" outlineLevel="2" x14ac:dyDescent="0.2">
      <c r="A69" s="114" t="str">
        <f>"   "&amp;Labels!B148</f>
        <v xml:space="preserve">   Working Cap</v>
      </c>
      <c r="B69" s="113">
        <f>'Equity Fin'!B186</f>
        <v>0</v>
      </c>
      <c r="C69" s="69">
        <f>'Equity Fin'!B186</f>
        <v>0</v>
      </c>
      <c r="D69" s="113">
        <f>'Equity Fin'!D186</f>
        <v>0</v>
      </c>
      <c r="E69" s="113">
        <f>'Equity Fin'!E186</f>
        <v>0</v>
      </c>
      <c r="F69" s="113">
        <f>'Equity Fin'!F186</f>
        <v>0</v>
      </c>
      <c r="G69" s="113">
        <f>'Equity Fin'!G186</f>
        <v>0</v>
      </c>
      <c r="H69" s="69">
        <f t="shared" si="6"/>
        <v>0</v>
      </c>
      <c r="I69" s="113">
        <f>'Equity Fin'!I186</f>
        <v>0</v>
      </c>
      <c r="J69" s="113">
        <f>'Equity Fin'!J186</f>
        <v>0</v>
      </c>
      <c r="K69" s="113">
        <f>'Equity Fin'!K186</f>
        <v>0</v>
      </c>
      <c r="L69" s="113">
        <f>'Equity Fin'!L186</f>
        <v>0</v>
      </c>
      <c r="M69" s="69">
        <f t="shared" si="7"/>
        <v>0</v>
      </c>
    </row>
    <row r="70" spans="1:13" ht="12.75" hidden="1" customHeight="1" outlineLevel="2" x14ac:dyDescent="0.2">
      <c r="A70" s="114" t="str">
        <f>"   "&amp;Labels!B149</f>
        <v xml:space="preserve">   Income Tax</v>
      </c>
      <c r="B70" s="113">
        <f>'Equity Fin'!B190</f>
        <v>0</v>
      </c>
      <c r="C70" s="69">
        <f>'Equity Fin'!B190</f>
        <v>0</v>
      </c>
      <c r="D70" s="113">
        <f>'Equity Fin'!D190</f>
        <v>0</v>
      </c>
      <c r="E70" s="113">
        <f>'Equity Fin'!E190</f>
        <v>0</v>
      </c>
      <c r="F70" s="113">
        <f>'Equity Fin'!F190</f>
        <v>0</v>
      </c>
      <c r="G70" s="113">
        <f>'Equity Fin'!G190</f>
        <v>0</v>
      </c>
      <c r="H70" s="69">
        <f t="shared" si="6"/>
        <v>0</v>
      </c>
      <c r="I70" s="113">
        <f>'Equity Fin'!I190</f>
        <v>0</v>
      </c>
      <c r="J70" s="113">
        <f>'Equity Fin'!J190</f>
        <v>0</v>
      </c>
      <c r="K70" s="113">
        <f>'Equity Fin'!K190</f>
        <v>0</v>
      </c>
      <c r="L70" s="113">
        <f>'Equity Fin'!L190</f>
        <v>0</v>
      </c>
      <c r="M70" s="69">
        <f t="shared" si="7"/>
        <v>0</v>
      </c>
    </row>
    <row r="71" spans="1:13" ht="12.75" hidden="1" customHeight="1" outlineLevel="2" x14ac:dyDescent="0.2">
      <c r="A71" s="121" t="str">
        <f>"   "&amp;Labels!C144</f>
        <v xml:space="preserve">   Total</v>
      </c>
      <c r="B71" s="132">
        <f>SUM(B66:B70)</f>
        <v>0</v>
      </c>
      <c r="C71" s="70">
        <f>SUM(B66:B70)</f>
        <v>0</v>
      </c>
      <c r="D71" s="132">
        <f>SUM(D66:D70)</f>
        <v>0</v>
      </c>
      <c r="E71" s="132">
        <f>SUM(E66:E70)</f>
        <v>0</v>
      </c>
      <c r="F71" s="132">
        <f>SUM(F66:F70)</f>
        <v>0</v>
      </c>
      <c r="G71" s="132">
        <f>SUM(G66:G70)</f>
        <v>0</v>
      </c>
      <c r="H71" s="70">
        <f t="shared" si="6"/>
        <v>0</v>
      </c>
      <c r="I71" s="132">
        <f>SUM(I66:I70)</f>
        <v>0</v>
      </c>
      <c r="J71" s="132">
        <f>SUM(J66:J70)</f>
        <v>0</v>
      </c>
      <c r="K71" s="132">
        <f>SUM(K66:K70)</f>
        <v>0</v>
      </c>
      <c r="L71" s="132">
        <f>SUM(L66:L70)</f>
        <v>0</v>
      </c>
      <c r="M71" s="70">
        <f t="shared" si="7"/>
        <v>0</v>
      </c>
    </row>
    <row r="72" spans="1:13" ht="12.75" hidden="1" customHeight="1" outlineLevel="2" collapsed="1" x14ac:dyDescent="0.2"/>
    <row r="73" spans="1:13" ht="12.75" hidden="1" customHeight="1" outlineLevel="1" collapsed="1" x14ac:dyDescent="0.2">
      <c r="A73" s="3" t="str">
        <f>"Return on Investment"</f>
        <v>Return on Investment</v>
      </c>
    </row>
    <row r="74" spans="1:13" ht="12.75" hidden="1" customHeight="1" outlineLevel="2" x14ac:dyDescent="0.2">
      <c r="A74" s="3" t="str">
        <f>" "</f>
        <v xml:space="preserve"> </v>
      </c>
    </row>
    <row r="75" spans="1:13" ht="12.75" hidden="1" customHeight="1" outlineLevel="2" x14ac:dyDescent="0.2">
      <c r="A75" s="111" t="str">
        <f>Labels!B96</f>
        <v>Avg ROC (Yr)</v>
      </c>
      <c r="B75" s="162" t="e">
        <f>4*SUM(Operations!B84:E84,Operations!G84:J84)/SUM(B96:E96,G96:J96)</f>
        <v>#DIV/0!</v>
      </c>
    </row>
    <row r="76" spans="1:13" ht="12.75" hidden="1" customHeight="1" outlineLevel="2" x14ac:dyDescent="0.2">
      <c r="A76" s="121" t="str">
        <f>Labels!B85</f>
        <v>IRR (Yr)</v>
      </c>
      <c r="B76" s="164" t="e">
        <f>'Equity Fin'!B201</f>
        <v>#NUM!</v>
      </c>
    </row>
    <row r="77" spans="1:13" ht="12.75" hidden="1" customHeight="1" outlineLevel="2" collapsed="1" x14ac:dyDescent="0.2"/>
    <row r="78" spans="1:13" ht="12.75" hidden="1" customHeight="1" outlineLevel="1" collapsed="1" x14ac:dyDescent="0.2">
      <c r="A78" s="1" t="str">
        <f>" "</f>
        <v xml:space="preserve"> </v>
      </c>
    </row>
    <row r="79" spans="1:13" ht="12.75" hidden="1" customHeight="1" outlineLevel="1" x14ac:dyDescent="0.2">
      <c r="A79" s="12" t="str">
        <f>Labels!B40</f>
        <v>Discount Method (Direct or CAPM)</v>
      </c>
      <c r="B79" s="167" t="str">
        <f>Inputs!E116</f>
        <v>Direct</v>
      </c>
    </row>
    <row r="80" spans="1:13" ht="12.75" hidden="1" customHeight="1" outlineLevel="1" x14ac:dyDescent="0.2">
      <c r="B80" s="17" t="str">
        <f>'(FnCalls 1)'!G6</f>
        <v>Q4 2010</v>
      </c>
      <c r="C80" s="62" t="str">
        <f>'(FnCalls 1)'!H4</f>
        <v>2010</v>
      </c>
      <c r="D80" s="18" t="str">
        <f>'(FnCalls 1)'!G7</f>
        <v>Q1 2011</v>
      </c>
      <c r="E80" s="18" t="str">
        <f>'(FnCalls 1)'!G8</f>
        <v>Q2 2011</v>
      </c>
      <c r="F80" s="18" t="str">
        <f>'(FnCalls 1)'!G9</f>
        <v>Q3 2011</v>
      </c>
      <c r="G80" s="18" t="str">
        <f>'(FnCalls 1)'!G10</f>
        <v>Q4 2011</v>
      </c>
      <c r="H80" s="62" t="str">
        <f>'(FnCalls 1)'!H7</f>
        <v>2011</v>
      </c>
      <c r="I80" s="18" t="str">
        <f>'(FnCalls 1)'!G11</f>
        <v>Q1 2012</v>
      </c>
      <c r="J80" s="18" t="str">
        <f>'(FnCalls 1)'!G12</f>
        <v>Q2 2012</v>
      </c>
      <c r="K80" s="18" t="str">
        <f>'(FnCalls 1)'!G13</f>
        <v>Q3 2012</v>
      </c>
      <c r="L80" s="18" t="str">
        <f>'(FnCalls 1)'!G14</f>
        <v>Q4 2012</v>
      </c>
      <c r="M80" s="62" t="str">
        <f>'(FnCalls 1)'!H11</f>
        <v>2012</v>
      </c>
    </row>
    <row r="81" spans="1:13" ht="12.75" hidden="1" customHeight="1" outlineLevel="1" x14ac:dyDescent="0.2">
      <c r="A81" s="12" t="str">
        <f>Labels!B42</f>
        <v>Discount Rate (Yr)</v>
      </c>
      <c r="B81" s="168">
        <f>'Equity Fin'!B212</f>
        <v>0.15</v>
      </c>
      <c r="C81" s="83">
        <f>IF(B79="Direct",Inputs!E121,IF(B79="CAPM",Inputs!E130*1+Inputs!E130*(-Investment!B103)+Inputs!E126*0.055*1+Inputs!E126*0.055*(-Investment!B103)+'Equity Fin'!B229*Investment!B103*1+'Equity Fin'!B229*Investment!B103*(-Inputs!E108),0))</f>
        <v>0.15</v>
      </c>
      <c r="D81" s="168">
        <f>'Equity Fin'!D212</f>
        <v>0.15</v>
      </c>
      <c r="E81" s="168">
        <f>'Equity Fin'!E212</f>
        <v>0.15</v>
      </c>
      <c r="F81" s="168">
        <f>'Equity Fin'!F212</f>
        <v>0.15</v>
      </c>
      <c r="G81" s="168">
        <f>'Equity Fin'!G212</f>
        <v>0.15</v>
      </c>
      <c r="H81" s="83">
        <f>IF(B79="Direct",AVERAGE(Inputs!G121:J121),IF(B79="CAPM",AVERAGE(Inputs!G130:J130)*1+AVERAGE(Inputs!G130:J130)*(-Investment!B103)+Inputs!E126*0.055*1+Inputs!E126*0.055*(-Investment!B103)+AVERAGE('Equity Fin'!D229:G229)*Investment!B103*1+AVERAGE('Equity Fin'!D229:G229)*Investment!B103*(-Inputs!J108),0))</f>
        <v>0.15</v>
      </c>
      <c r="I81" s="168">
        <f>'Equity Fin'!I212</f>
        <v>0.15</v>
      </c>
      <c r="J81" s="168">
        <f>'Equity Fin'!J212</f>
        <v>0.15</v>
      </c>
      <c r="K81" s="168">
        <f>'Equity Fin'!K212</f>
        <v>0.15</v>
      </c>
      <c r="L81" s="168">
        <f>'Equity Fin'!L212</f>
        <v>0.15</v>
      </c>
      <c r="M81" s="83">
        <f>IF(B79="Direct",AVERAGE(Inputs!L121:O121),IF(B79="CAPM",AVERAGE(Inputs!L130:O130)*1+AVERAGE(Inputs!L130:O130)*(-Investment!B103)+Inputs!E126*0.055*1+Inputs!E126*0.055*(-Investment!B103)+AVERAGE('Equity Fin'!I229:L229)*Investment!B103*1+AVERAGE('Equity Fin'!I229:L229)*Investment!B103*(-Inputs!O108),0))</f>
        <v>0.15</v>
      </c>
    </row>
    <row r="82" spans="1:13" ht="12.75" hidden="1" customHeight="1" outlineLevel="1" x14ac:dyDescent="0.2"/>
    <row r="83" spans="1:13" ht="12.75" hidden="1" customHeight="1" outlineLevel="1" collapsed="1" x14ac:dyDescent="0.2"/>
    <row r="84" spans="1:13" ht="12.75" customHeight="1" collapsed="1" x14ac:dyDescent="0.2"/>
    <row r="85" spans="1:13" ht="12.75" customHeight="1" x14ac:dyDescent="0.2">
      <c r="A85" s="2" t="str">
        <f>"Book Value"</f>
        <v>Book Value</v>
      </c>
    </row>
    <row r="86" spans="1:13" ht="12.75" hidden="1" customHeight="1" outlineLevel="1" x14ac:dyDescent="0.2">
      <c r="A86" s="2" t="str">
        <f>""</f>
        <v/>
      </c>
    </row>
    <row r="87" spans="1:13" ht="12.75" hidden="1" customHeight="1" outlineLevel="1" x14ac:dyDescent="0.2">
      <c r="B87" s="17" t="str">
        <f>'(FnCalls 1)'!G7</f>
        <v>Q1 2011</v>
      </c>
      <c r="C87" s="18" t="str">
        <f>'(FnCalls 1)'!G8</f>
        <v>Q2 2011</v>
      </c>
      <c r="D87" s="18" t="str">
        <f>'(FnCalls 1)'!G9</f>
        <v>Q3 2011</v>
      </c>
      <c r="E87" s="18" t="str">
        <f>'(FnCalls 1)'!G10</f>
        <v>Q4 2011</v>
      </c>
      <c r="F87" s="62" t="str">
        <f>'(FnCalls 1)'!H7</f>
        <v>2011</v>
      </c>
      <c r="G87" s="18" t="str">
        <f>'(FnCalls 1)'!G11</f>
        <v>Q1 2012</v>
      </c>
      <c r="H87" s="18" t="str">
        <f>'(FnCalls 1)'!G12</f>
        <v>Q2 2012</v>
      </c>
      <c r="I87" s="18" t="str">
        <f>'(FnCalls 1)'!G13</f>
        <v>Q3 2012</v>
      </c>
      <c r="J87" s="18" t="str">
        <f>'(FnCalls 1)'!G14</f>
        <v>Q4 2012</v>
      </c>
      <c r="K87" s="62" t="str">
        <f>'(FnCalls 1)'!H11</f>
        <v>2012</v>
      </c>
    </row>
    <row r="88" spans="1:13" ht="12.75" hidden="1" customHeight="1" outlineLevel="1" x14ac:dyDescent="0.2">
      <c r="A88" s="111" t="str">
        <f>Labels!B10</f>
        <v>Book Value Fixed Inv (Start)</v>
      </c>
      <c r="B88" s="110"/>
      <c r="C88" s="110"/>
      <c r="D88" s="110"/>
      <c r="E88" s="110"/>
      <c r="F88" s="75"/>
      <c r="G88" s="110"/>
      <c r="H88" s="110"/>
      <c r="I88" s="110"/>
      <c r="J88" s="110"/>
      <c r="K88" s="75"/>
    </row>
    <row r="89" spans="1:13" ht="12.75" hidden="1" customHeight="1" outlineLevel="1" x14ac:dyDescent="0.2">
      <c r="A89" s="114" t="str">
        <f>"   "&amp;Labels!B170</f>
        <v xml:space="preserve">   Invest 1</v>
      </c>
      <c r="B89" s="113">
        <f>'Equity Fin'!D247</f>
        <v>0</v>
      </c>
      <c r="C89" s="113">
        <f>'Equity Fin'!E247</f>
        <v>0</v>
      </c>
      <c r="D89" s="113">
        <f>'Equity Fin'!F247</f>
        <v>0</v>
      </c>
      <c r="E89" s="113">
        <f>'Equity Fin'!G247</f>
        <v>0</v>
      </c>
      <c r="F89" s="69">
        <f>'Equity Fin'!D247</f>
        <v>0</v>
      </c>
      <c r="G89" s="113">
        <f>'Equity Fin'!I247</f>
        <v>0</v>
      </c>
      <c r="H89" s="113">
        <f>'Equity Fin'!J247</f>
        <v>0</v>
      </c>
      <c r="I89" s="113">
        <f>'Equity Fin'!K247</f>
        <v>0</v>
      </c>
      <c r="J89" s="113">
        <f>'Equity Fin'!L247</f>
        <v>0</v>
      </c>
      <c r="K89" s="69">
        <f>'Equity Fin'!I247</f>
        <v>0</v>
      </c>
    </row>
    <row r="90" spans="1:13" ht="12.75" hidden="1" customHeight="1" outlineLevel="1" x14ac:dyDescent="0.2">
      <c r="A90" s="114" t="str">
        <f>"   "&amp;Labels!B171</f>
        <v xml:space="preserve">   Invest 2</v>
      </c>
      <c r="B90" s="113">
        <f>'Equity Fin'!D248</f>
        <v>0</v>
      </c>
      <c r="C90" s="113">
        <f>'Equity Fin'!E248</f>
        <v>0</v>
      </c>
      <c r="D90" s="113">
        <f>'Equity Fin'!F248</f>
        <v>0</v>
      </c>
      <c r="E90" s="113">
        <f>'Equity Fin'!G248</f>
        <v>0</v>
      </c>
      <c r="F90" s="69">
        <f>'Equity Fin'!D248</f>
        <v>0</v>
      </c>
      <c r="G90" s="113">
        <f>'Equity Fin'!I248</f>
        <v>0</v>
      </c>
      <c r="H90" s="113">
        <f>'Equity Fin'!J248</f>
        <v>0</v>
      </c>
      <c r="I90" s="113">
        <f>'Equity Fin'!K248</f>
        <v>0</v>
      </c>
      <c r="J90" s="113">
        <f>'Equity Fin'!L248</f>
        <v>0</v>
      </c>
      <c r="K90" s="69">
        <f>'Equity Fin'!I248</f>
        <v>0</v>
      </c>
    </row>
    <row r="91" spans="1:13" ht="12.75" hidden="1" customHeight="1" outlineLevel="1" x14ac:dyDescent="0.2">
      <c r="A91" s="117" t="str">
        <f>"   "&amp;Labels!C169</f>
        <v xml:space="preserve">   Total</v>
      </c>
      <c r="B91" s="120">
        <f>SUM(B89:B90)</f>
        <v>0</v>
      </c>
      <c r="C91" s="120">
        <f>SUM(C89:C90)</f>
        <v>0</v>
      </c>
      <c r="D91" s="120">
        <f>SUM(D89:D90)</f>
        <v>0</v>
      </c>
      <c r="E91" s="120">
        <f>SUM(E89:E90)</f>
        <v>0</v>
      </c>
      <c r="F91" s="69">
        <f>SUM(B89:B90)</f>
        <v>0</v>
      </c>
      <c r="G91" s="120">
        <f>SUM(G89:G90)</f>
        <v>0</v>
      </c>
      <c r="H91" s="120">
        <f>SUM(H89:H90)</f>
        <v>0</v>
      </c>
      <c r="I91" s="120">
        <f>SUM(I89:I90)</f>
        <v>0</v>
      </c>
      <c r="J91" s="120">
        <f>SUM(J89:J90)</f>
        <v>0</v>
      </c>
      <c r="K91" s="69">
        <f>SUM(G89:G90)</f>
        <v>0</v>
      </c>
    </row>
    <row r="92" spans="1:13" ht="12.75" hidden="1" customHeight="1" outlineLevel="1" x14ac:dyDescent="0.2">
      <c r="A92" s="117" t="str">
        <f>Labels!B35</f>
        <v>Depreciation</v>
      </c>
      <c r="B92" s="120"/>
      <c r="C92" s="120"/>
      <c r="D92" s="120"/>
      <c r="E92" s="120"/>
      <c r="F92" s="69"/>
      <c r="G92" s="120"/>
      <c r="H92" s="120"/>
      <c r="I92" s="120"/>
      <c r="J92" s="120"/>
      <c r="K92" s="69"/>
    </row>
    <row r="93" spans="1:13" ht="12.75" hidden="1" customHeight="1" outlineLevel="1" x14ac:dyDescent="0.2">
      <c r="A93" s="114" t="str">
        <f>"   "&amp;Labels!B170</f>
        <v xml:space="preserve">   Invest 1</v>
      </c>
      <c r="B93" s="113">
        <f>Investment!D148</f>
        <v>0</v>
      </c>
      <c r="C93" s="113">
        <f>Investment!E148</f>
        <v>0</v>
      </c>
      <c r="D93" s="113">
        <f>Investment!F148</f>
        <v>0</v>
      </c>
      <c r="E93" s="113">
        <f>Investment!G148</f>
        <v>0</v>
      </c>
      <c r="F93" s="69">
        <f>SUM(B93:E93)</f>
        <v>0</v>
      </c>
      <c r="G93" s="113">
        <f>Investment!I148</f>
        <v>0</v>
      </c>
      <c r="H93" s="113">
        <f>Investment!J148</f>
        <v>0</v>
      </c>
      <c r="I93" s="113">
        <f>Investment!K148</f>
        <v>0</v>
      </c>
      <c r="J93" s="113">
        <f>Investment!L148</f>
        <v>0</v>
      </c>
      <c r="K93" s="69">
        <f>SUM(G93:J93)</f>
        <v>0</v>
      </c>
    </row>
    <row r="94" spans="1:13" ht="12.75" hidden="1" customHeight="1" outlineLevel="1" x14ac:dyDescent="0.2">
      <c r="A94" s="114" t="str">
        <f>"   "&amp;Labels!B171</f>
        <v xml:space="preserve">   Invest 2</v>
      </c>
      <c r="B94" s="113">
        <f>Investment!D149</f>
        <v>0</v>
      </c>
      <c r="C94" s="113">
        <f>Investment!E149</f>
        <v>0</v>
      </c>
      <c r="D94" s="113">
        <f>Investment!F149</f>
        <v>0</v>
      </c>
      <c r="E94" s="113">
        <f>Investment!G149</f>
        <v>0</v>
      </c>
      <c r="F94" s="69">
        <f>SUM(B94:E94)</f>
        <v>0</v>
      </c>
      <c r="G94" s="113">
        <f>Investment!I149</f>
        <v>0</v>
      </c>
      <c r="H94" s="113">
        <f>Investment!J149</f>
        <v>0</v>
      </c>
      <c r="I94" s="113">
        <f>Investment!K149</f>
        <v>0</v>
      </c>
      <c r="J94" s="113">
        <f>Investment!L149</f>
        <v>0</v>
      </c>
      <c r="K94" s="69">
        <f>SUM(G94:J94)</f>
        <v>0</v>
      </c>
    </row>
    <row r="95" spans="1:13" ht="12.75" hidden="1" customHeight="1" outlineLevel="1" x14ac:dyDescent="0.2">
      <c r="A95" s="117" t="str">
        <f>"   "&amp;Labels!C169</f>
        <v xml:space="preserve">   Total</v>
      </c>
      <c r="B95" s="120">
        <f>SUM(B93:B94)</f>
        <v>0</v>
      </c>
      <c r="C95" s="120">
        <f>SUM(C93:C94)</f>
        <v>0</v>
      </c>
      <c r="D95" s="120">
        <f>SUM(D93:D94)</f>
        <v>0</v>
      </c>
      <c r="E95" s="120">
        <f>SUM(E93:E94)</f>
        <v>0</v>
      </c>
      <c r="F95" s="69">
        <f>SUM(B95:E95)</f>
        <v>0</v>
      </c>
      <c r="G95" s="120">
        <f>SUM(G93:G94)</f>
        <v>0</v>
      </c>
      <c r="H95" s="120">
        <f>SUM(H93:H94)</f>
        <v>0</v>
      </c>
      <c r="I95" s="120">
        <f>SUM(I93:I94)</f>
        <v>0</v>
      </c>
      <c r="J95" s="120">
        <f>SUM(J93:J94)</f>
        <v>0</v>
      </c>
      <c r="K95" s="69">
        <f>SUM(G95:J95)</f>
        <v>0</v>
      </c>
    </row>
    <row r="96" spans="1:13" ht="12.75" hidden="1" customHeight="1" outlineLevel="1" x14ac:dyDescent="0.2">
      <c r="A96" s="121" t="str">
        <f>Labels!B13</f>
        <v>Average Capital</v>
      </c>
      <c r="B96" s="132">
        <f>Investment!D121</f>
        <v>0</v>
      </c>
      <c r="C96" s="132">
        <f>Investment!E121</f>
        <v>0</v>
      </c>
      <c r="D96" s="132">
        <f>Investment!F121</f>
        <v>0</v>
      </c>
      <c r="E96" s="132">
        <f>Investment!G121</f>
        <v>0</v>
      </c>
      <c r="F96" s="70">
        <f>AVERAGE(B96:E96)</f>
        <v>0</v>
      </c>
      <c r="G96" s="132">
        <f>Investment!I121</f>
        <v>0</v>
      </c>
      <c r="H96" s="132">
        <f>Investment!J121</f>
        <v>0</v>
      </c>
      <c r="I96" s="132">
        <f>Investment!K121</f>
        <v>0</v>
      </c>
      <c r="J96" s="132">
        <f>Investment!L121</f>
        <v>0</v>
      </c>
      <c r="K96" s="70">
        <f>AVERAGE(G96:J96)</f>
        <v>0</v>
      </c>
    </row>
    <row r="97" spans="1:13" ht="12.75" hidden="1" customHeight="1" outlineLevel="1" collapsed="1" x14ac:dyDescent="0.2"/>
    <row r="98" spans="1:13" ht="12.75" customHeight="1" collapsed="1" x14ac:dyDescent="0.2">
      <c r="A98" t="s">
        <v>841</v>
      </c>
      <c r="B98" t="s">
        <v>841</v>
      </c>
      <c r="C98" t="s">
        <v>841</v>
      </c>
      <c r="D98" t="s">
        <v>841</v>
      </c>
      <c r="E98" t="s">
        <v>841</v>
      </c>
      <c r="F98" t="s">
        <v>841</v>
      </c>
      <c r="G98" t="s">
        <v>841</v>
      </c>
      <c r="H98" t="s">
        <v>841</v>
      </c>
      <c r="I98" t="s">
        <v>841</v>
      </c>
      <c r="J98" t="s">
        <v>841</v>
      </c>
      <c r="K98" t="s">
        <v>841</v>
      </c>
      <c r="L98" t="s">
        <v>841</v>
      </c>
      <c r="M98" t="s">
        <v>841</v>
      </c>
    </row>
  </sheetData>
  <mergeCells count="10">
    <mergeCell ref="A38:B38"/>
    <mergeCell ref="A39:B39"/>
    <mergeCell ref="A62:B62"/>
    <mergeCell ref="A63:B63"/>
    <mergeCell ref="A1:D1"/>
    <mergeCell ref="A2:D2"/>
    <mergeCell ref="A3:D3"/>
    <mergeCell ref="A4:D4"/>
    <mergeCell ref="A21:B21"/>
    <mergeCell ref="A22:B22"/>
  </mergeCells>
  <pageMargins left="0.25" right="0.25" top="0.5" bottom="0.5" header="0.5" footer="0.5"/>
  <pageSetup paperSize="9" fitToHeight="32767" orientation="landscape"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98"/>
  <sheetViews>
    <sheetView zoomScaleNormal="100" workbookViewId="0"/>
  </sheetViews>
  <sheetFormatPr defaultRowHeight="12.75" customHeight="1" outlineLevelRow="2" x14ac:dyDescent="0.2"/>
  <cols>
    <col min="1" max="1" width="30.85546875" customWidth="1"/>
    <col min="2" max="13" width="16" customWidth="1"/>
  </cols>
  <sheetData>
    <row r="1" spans="1:13" ht="12.75" customHeight="1" x14ac:dyDescent="0.2">
      <c r="A1" s="270" t="str">
        <f>Inputs!E7</f>
        <v>ModelSheet Software</v>
      </c>
      <c r="B1" s="270"/>
      <c r="C1" s="270"/>
      <c r="D1" s="270"/>
    </row>
    <row r="2" spans="1:13" ht="12.75" customHeight="1" x14ac:dyDescent="0.2">
      <c r="A2" s="270" t="str">
        <f>Inputs!E9</f>
        <v>Project Test</v>
      </c>
      <c r="B2" s="270"/>
      <c r="C2" s="270"/>
      <c r="D2" s="270"/>
    </row>
    <row r="3" spans="1:13" ht="12.75" customHeight="1" x14ac:dyDescent="0.2">
      <c r="A3" s="270" t="str">
        <f>"Equity Financing"</f>
        <v>Equity Financing</v>
      </c>
      <c r="B3" s="270"/>
      <c r="C3" s="270"/>
      <c r="D3" s="270"/>
    </row>
    <row r="4" spans="1:13" ht="12.75" customHeight="1" x14ac:dyDescent="0.2">
      <c r="A4" s="270" t="str">
        <f>" "</f>
        <v xml:space="preserve"> </v>
      </c>
      <c r="B4" s="270"/>
      <c r="C4" s="270"/>
      <c r="D4" s="270"/>
    </row>
    <row r="5" spans="1:13" ht="12.75" customHeight="1" x14ac:dyDescent="0.2">
      <c r="A5" s="2" t="str">
        <f>"Cash Flow"</f>
        <v>Cash Flow</v>
      </c>
    </row>
    <row r="6" spans="1:13" ht="12.75" customHeight="1" x14ac:dyDescent="0.2">
      <c r="A6" s="1" t="str">
        <f>" "</f>
        <v xml:space="preserve"> </v>
      </c>
    </row>
    <row r="7" spans="1:13" ht="12.75" customHeight="1" x14ac:dyDescent="0.2">
      <c r="B7" s="17" t="str">
        <f>'(FnCalls 1)'!G6</f>
        <v>Q4 2010</v>
      </c>
      <c r="C7" s="62" t="str">
        <f>'(FnCalls 1)'!H4</f>
        <v>2010</v>
      </c>
      <c r="D7" s="18" t="str">
        <f>'(FnCalls 1)'!G7</f>
        <v>Q1 2011</v>
      </c>
      <c r="E7" s="18" t="str">
        <f>'(FnCalls 1)'!G8</f>
        <v>Q2 2011</v>
      </c>
      <c r="F7" s="18" t="str">
        <f>'(FnCalls 1)'!G9</f>
        <v>Q3 2011</v>
      </c>
      <c r="G7" s="18" t="str">
        <f>'(FnCalls 1)'!G10</f>
        <v>Q4 2011</v>
      </c>
      <c r="H7" s="62" t="str">
        <f>'(FnCalls 1)'!H7</f>
        <v>2011</v>
      </c>
      <c r="I7" s="18" t="str">
        <f>'(FnCalls 1)'!G11</f>
        <v>Q1 2012</v>
      </c>
      <c r="J7" s="18" t="str">
        <f>'(FnCalls 1)'!G12</f>
        <v>Q2 2012</v>
      </c>
      <c r="K7" s="18" t="str">
        <f>'(FnCalls 1)'!G13</f>
        <v>Q3 2012</v>
      </c>
      <c r="L7" s="18" t="str">
        <f>'(FnCalls 1)'!G14</f>
        <v>Q4 2012</v>
      </c>
      <c r="M7" s="62" t="str">
        <f>'(FnCalls 1)'!H11</f>
        <v>2012</v>
      </c>
    </row>
    <row r="8" spans="1:13" ht="12.75" customHeight="1" x14ac:dyDescent="0.2">
      <c r="A8" s="12" t="str">
        <f>Labels!B15</f>
        <v>Cash Flow - Equity Fin</v>
      </c>
      <c r="B8" s="107">
        <f>SUM(B14:B18)</f>
        <v>0</v>
      </c>
      <c r="C8" s="108">
        <f>SUM(B14:B18)</f>
        <v>0</v>
      </c>
      <c r="D8" s="107">
        <f>SUM(D14:D18)</f>
        <v>0</v>
      </c>
      <c r="E8" s="107">
        <f>SUM(E14:E18)</f>
        <v>0</v>
      </c>
      <c r="F8" s="107">
        <f>SUM(F14:F18)</f>
        <v>0</v>
      </c>
      <c r="G8" s="107">
        <f>SUM(G14:G18)</f>
        <v>0</v>
      </c>
      <c r="H8" s="108">
        <f>SUM(D8:G8)</f>
        <v>0</v>
      </c>
      <c r="I8" s="107">
        <f>SUM(I14:I18)</f>
        <v>0</v>
      </c>
      <c r="J8" s="107">
        <f>SUM(J14:J18)</f>
        <v>0</v>
      </c>
      <c r="K8" s="107">
        <f>SUM(K14:K18)</f>
        <v>0</v>
      </c>
      <c r="L8" s="107">
        <f>SUM(L14:L18)</f>
        <v>0</v>
      </c>
      <c r="M8" s="108">
        <f>SUM(I8:L8)</f>
        <v>0</v>
      </c>
    </row>
    <row r="10" spans="1:13" ht="12.75" customHeight="1" x14ac:dyDescent="0.2">
      <c r="A10" s="3" t="str">
        <f>"Cash Flow - Detail"</f>
        <v>Cash Flow - Detail</v>
      </c>
    </row>
    <row r="11" spans="1:13" ht="12.75" hidden="1" customHeight="1" outlineLevel="1" x14ac:dyDescent="0.2">
      <c r="A11" s="3" t="str">
        <f>" "</f>
        <v xml:space="preserve"> </v>
      </c>
    </row>
    <row r="12" spans="1:13" ht="12.75" hidden="1" customHeight="1" outlineLevel="1" x14ac:dyDescent="0.2">
      <c r="B12" s="17" t="str">
        <f>'(FnCalls 1)'!G6</f>
        <v>Q4 2010</v>
      </c>
      <c r="C12" s="62" t="str">
        <f>'(FnCalls 1)'!H4</f>
        <v>2010</v>
      </c>
      <c r="D12" s="18" t="str">
        <f>'(FnCalls 1)'!G7</f>
        <v>Q1 2011</v>
      </c>
      <c r="E12" s="18" t="str">
        <f>'(FnCalls 1)'!G8</f>
        <v>Q2 2011</v>
      </c>
      <c r="F12" s="18" t="str">
        <f>'(FnCalls 1)'!G9</f>
        <v>Q3 2011</v>
      </c>
      <c r="G12" s="18" t="str">
        <f>'(FnCalls 1)'!G10</f>
        <v>Q4 2011</v>
      </c>
      <c r="H12" s="62" t="str">
        <f>'(FnCalls 1)'!H7</f>
        <v>2011</v>
      </c>
      <c r="I12" s="18" t="str">
        <f>'(FnCalls 1)'!G11</f>
        <v>Q1 2012</v>
      </c>
      <c r="J12" s="18" t="str">
        <f>'(FnCalls 1)'!G12</f>
        <v>Q2 2012</v>
      </c>
      <c r="K12" s="18" t="str">
        <f>'(FnCalls 1)'!G13</f>
        <v>Q3 2012</v>
      </c>
      <c r="L12" s="18" t="str">
        <f>'(FnCalls 1)'!G14</f>
        <v>Q4 2012</v>
      </c>
      <c r="M12" s="62" t="str">
        <f>'(FnCalls 1)'!H11</f>
        <v>2012</v>
      </c>
    </row>
    <row r="13" spans="1:13" ht="12.75" hidden="1" customHeight="1" outlineLevel="1" x14ac:dyDescent="0.2">
      <c r="A13" s="111" t="str">
        <f>Labels!B15</f>
        <v>Cash Flow - Equity Fin</v>
      </c>
      <c r="B13" s="110"/>
      <c r="C13" s="75"/>
      <c r="D13" s="110"/>
      <c r="E13" s="110"/>
      <c r="F13" s="110"/>
      <c r="G13" s="110"/>
      <c r="H13" s="75"/>
      <c r="I13" s="110"/>
      <c r="J13" s="110"/>
      <c r="K13" s="110"/>
      <c r="L13" s="110"/>
      <c r="M13" s="75"/>
    </row>
    <row r="14" spans="1:13" ht="12.75" hidden="1" customHeight="1" outlineLevel="1" x14ac:dyDescent="0.2">
      <c r="A14" s="114" t="str">
        <f>"   "&amp;Labels!B145</f>
        <v xml:space="preserve">   EBITDA</v>
      </c>
      <c r="B14" s="113">
        <f>'Equity Fin'!B25</f>
        <v>0</v>
      </c>
      <c r="C14" s="69">
        <f>'Equity Fin'!B25</f>
        <v>0</v>
      </c>
      <c r="D14" s="113">
        <f>'Equity Fin'!D25</f>
        <v>0</v>
      </c>
      <c r="E14" s="113">
        <f>'Equity Fin'!E25</f>
        <v>0</v>
      </c>
      <c r="F14" s="113">
        <f>'Equity Fin'!F25</f>
        <v>0</v>
      </c>
      <c r="G14" s="113">
        <f>'Equity Fin'!G25</f>
        <v>0</v>
      </c>
      <c r="H14" s="69">
        <f t="shared" ref="H14:H19" si="0">SUM(D14:G14)</f>
        <v>0</v>
      </c>
      <c r="I14" s="113">
        <f>'Equity Fin'!I25</f>
        <v>0</v>
      </c>
      <c r="J14" s="113">
        <f>'Equity Fin'!J25</f>
        <v>0</v>
      </c>
      <c r="K14" s="113">
        <f>'Equity Fin'!K25</f>
        <v>0</v>
      </c>
      <c r="L14" s="113">
        <f>'Equity Fin'!L25</f>
        <v>0</v>
      </c>
      <c r="M14" s="69">
        <f t="shared" ref="M14:M19" si="1">SUM(I14:L14)</f>
        <v>0</v>
      </c>
    </row>
    <row r="15" spans="1:13" ht="12.75" hidden="1" customHeight="1" outlineLevel="1" x14ac:dyDescent="0.2">
      <c r="A15" s="114" t="str">
        <f>"   "&amp;Labels!B146</f>
        <v xml:space="preserve">   Fixed Invest</v>
      </c>
      <c r="B15" s="113">
        <f>'Equity Fin'!B26</f>
        <v>0</v>
      </c>
      <c r="C15" s="69">
        <f>'Equity Fin'!B26</f>
        <v>0</v>
      </c>
      <c r="D15" s="113">
        <f>'Equity Fin'!D26</f>
        <v>0</v>
      </c>
      <c r="E15" s="113">
        <f>'Equity Fin'!E26</f>
        <v>0</v>
      </c>
      <c r="F15" s="113">
        <f>'Equity Fin'!F26</f>
        <v>0</v>
      </c>
      <c r="G15" s="113">
        <f>'Equity Fin'!G26</f>
        <v>0</v>
      </c>
      <c r="H15" s="69">
        <f t="shared" si="0"/>
        <v>0</v>
      </c>
      <c r="I15" s="113">
        <f>'Equity Fin'!I26</f>
        <v>0</v>
      </c>
      <c r="J15" s="113">
        <f>'Equity Fin'!J26</f>
        <v>0</v>
      </c>
      <c r="K15" s="113">
        <f>'Equity Fin'!K26</f>
        <v>0</v>
      </c>
      <c r="L15" s="113">
        <f>'Equity Fin'!L26</f>
        <v>0</v>
      </c>
      <c r="M15" s="69">
        <f t="shared" si="1"/>
        <v>0</v>
      </c>
    </row>
    <row r="16" spans="1:13" ht="12.75" hidden="1" customHeight="1" outlineLevel="1" x14ac:dyDescent="0.2">
      <c r="A16" s="114" t="str">
        <f>"   "&amp;Labels!B147</f>
        <v xml:space="preserve">   Inv Tax Credit</v>
      </c>
      <c r="B16" s="113">
        <f>'Equity Fin'!B27</f>
        <v>0</v>
      </c>
      <c r="C16" s="69">
        <f>'Equity Fin'!B27</f>
        <v>0</v>
      </c>
      <c r="D16" s="113">
        <f>'Equity Fin'!D27</f>
        <v>0</v>
      </c>
      <c r="E16" s="113">
        <f>'Equity Fin'!E27</f>
        <v>0</v>
      </c>
      <c r="F16" s="113">
        <f>'Equity Fin'!F27</f>
        <v>0</v>
      </c>
      <c r="G16" s="113">
        <f>'Equity Fin'!G27</f>
        <v>0</v>
      </c>
      <c r="H16" s="69">
        <f t="shared" si="0"/>
        <v>0</v>
      </c>
      <c r="I16" s="113">
        <f>'Equity Fin'!I27</f>
        <v>0</v>
      </c>
      <c r="J16" s="113">
        <f>'Equity Fin'!J27</f>
        <v>0</v>
      </c>
      <c r="K16" s="113">
        <f>'Equity Fin'!K27</f>
        <v>0</v>
      </c>
      <c r="L16" s="113">
        <f>'Equity Fin'!L27</f>
        <v>0</v>
      </c>
      <c r="M16" s="69">
        <f t="shared" si="1"/>
        <v>0</v>
      </c>
    </row>
    <row r="17" spans="1:13" ht="12.75" hidden="1" customHeight="1" outlineLevel="1" x14ac:dyDescent="0.2">
      <c r="A17" s="114" t="str">
        <f>"   "&amp;Labels!B148</f>
        <v xml:space="preserve">   Working Cap</v>
      </c>
      <c r="B17" s="113">
        <f>'Equity Fin'!B28</f>
        <v>0</v>
      </c>
      <c r="C17" s="69">
        <f>'Equity Fin'!B28</f>
        <v>0</v>
      </c>
      <c r="D17" s="113">
        <f>'Equity Fin'!D28</f>
        <v>0</v>
      </c>
      <c r="E17" s="113">
        <f>'Equity Fin'!E28</f>
        <v>0</v>
      </c>
      <c r="F17" s="113">
        <f>'Equity Fin'!F28</f>
        <v>0</v>
      </c>
      <c r="G17" s="113">
        <f>'Equity Fin'!G28</f>
        <v>0</v>
      </c>
      <c r="H17" s="69">
        <f t="shared" si="0"/>
        <v>0</v>
      </c>
      <c r="I17" s="113">
        <f>'Equity Fin'!I28</f>
        <v>0</v>
      </c>
      <c r="J17" s="113">
        <f>'Equity Fin'!J28</f>
        <v>0</v>
      </c>
      <c r="K17" s="113">
        <f>'Equity Fin'!K28</f>
        <v>0</v>
      </c>
      <c r="L17" s="113">
        <f>'Equity Fin'!L28</f>
        <v>0</v>
      </c>
      <c r="M17" s="69">
        <f t="shared" si="1"/>
        <v>0</v>
      </c>
    </row>
    <row r="18" spans="1:13" ht="12.75" hidden="1" customHeight="1" outlineLevel="1" x14ac:dyDescent="0.2">
      <c r="A18" s="114" t="str">
        <f>"   "&amp;Labels!B149</f>
        <v xml:space="preserve">   Income Tax</v>
      </c>
      <c r="B18" s="113">
        <f>'Equity Fin'!B29</f>
        <v>0</v>
      </c>
      <c r="C18" s="69">
        <f>'Equity Fin'!B29</f>
        <v>0</v>
      </c>
      <c r="D18" s="113">
        <f>'Equity Fin'!D29</f>
        <v>0</v>
      </c>
      <c r="E18" s="113">
        <f>'Equity Fin'!E29</f>
        <v>0</v>
      </c>
      <c r="F18" s="113">
        <f>'Equity Fin'!F29</f>
        <v>0</v>
      </c>
      <c r="G18" s="113">
        <f>'Equity Fin'!G29</f>
        <v>0</v>
      </c>
      <c r="H18" s="69">
        <f t="shared" si="0"/>
        <v>0</v>
      </c>
      <c r="I18" s="113">
        <f>'Equity Fin'!I29</f>
        <v>0</v>
      </c>
      <c r="J18" s="113">
        <f>'Equity Fin'!J29</f>
        <v>0</v>
      </c>
      <c r="K18" s="113">
        <f>'Equity Fin'!K29</f>
        <v>0</v>
      </c>
      <c r="L18" s="113">
        <f>'Equity Fin'!L29</f>
        <v>0</v>
      </c>
      <c r="M18" s="69">
        <f t="shared" si="1"/>
        <v>0</v>
      </c>
    </row>
    <row r="19" spans="1:13" ht="12.75" hidden="1" customHeight="1" outlineLevel="1" x14ac:dyDescent="0.2">
      <c r="A19" s="121" t="str">
        <f>"   "&amp;Labels!C144</f>
        <v xml:space="preserve">   Total</v>
      </c>
      <c r="B19" s="132">
        <f>SUM(B14:B18)</f>
        <v>0</v>
      </c>
      <c r="C19" s="70">
        <f>SUM(B14:B18)</f>
        <v>0</v>
      </c>
      <c r="D19" s="132">
        <f>SUM(D14:D18)</f>
        <v>0</v>
      </c>
      <c r="E19" s="132">
        <f>SUM(E14:E18)</f>
        <v>0</v>
      </c>
      <c r="F19" s="132">
        <f>SUM(F14:F18)</f>
        <v>0</v>
      </c>
      <c r="G19" s="132">
        <f>SUM(G14:G18)</f>
        <v>0</v>
      </c>
      <c r="H19" s="70">
        <f t="shared" si="0"/>
        <v>0</v>
      </c>
      <c r="I19" s="132">
        <f>SUM(I14:I18)</f>
        <v>0</v>
      </c>
      <c r="J19" s="132">
        <f>SUM(J14:J18)</f>
        <v>0</v>
      </c>
      <c r="K19" s="132">
        <f>SUM(K14:K18)</f>
        <v>0</v>
      </c>
      <c r="L19" s="132">
        <f>SUM(L14:L18)</f>
        <v>0</v>
      </c>
      <c r="M19" s="70">
        <f t="shared" si="1"/>
        <v>0</v>
      </c>
    </row>
    <row r="20" spans="1:13" ht="12.75" hidden="1" customHeight="1" outlineLevel="1" collapsed="1" x14ac:dyDescent="0.2"/>
    <row r="21" spans="1:13" ht="12.75" customHeight="1" collapsed="1" x14ac:dyDescent="0.2">
      <c r="A21" s="272" t="str">
        <f>"Cash Flow - Fixed Investment"</f>
        <v>Cash Flow - Fixed Investment</v>
      </c>
      <c r="B21" s="272"/>
    </row>
    <row r="22" spans="1:13" ht="12.75" hidden="1" customHeight="1" outlineLevel="1" x14ac:dyDescent="0.2">
      <c r="A22" s="272" t="str">
        <f>""</f>
        <v/>
      </c>
      <c r="B22" s="272"/>
    </row>
    <row r="23" spans="1:13" ht="12.75" hidden="1" customHeight="1" outlineLevel="1" x14ac:dyDescent="0.2">
      <c r="B23" s="17" t="str">
        <f>'(FnCalls 1)'!G6</f>
        <v>Q4 2010</v>
      </c>
      <c r="C23" s="62" t="str">
        <f>'(FnCalls 1)'!H4</f>
        <v>2010</v>
      </c>
      <c r="D23" s="18" t="str">
        <f>'(FnCalls 1)'!G7</f>
        <v>Q1 2011</v>
      </c>
      <c r="E23" s="18" t="str">
        <f>'(FnCalls 1)'!G8</f>
        <v>Q2 2011</v>
      </c>
      <c r="F23" s="18" t="str">
        <f>'(FnCalls 1)'!G9</f>
        <v>Q3 2011</v>
      </c>
      <c r="G23" s="18" t="str">
        <f>'(FnCalls 1)'!G10</f>
        <v>Q4 2011</v>
      </c>
      <c r="H23" s="62" t="str">
        <f>'(FnCalls 1)'!H7</f>
        <v>2011</v>
      </c>
      <c r="I23" s="18" t="str">
        <f>'(FnCalls 1)'!G11</f>
        <v>Q1 2012</v>
      </c>
      <c r="J23" s="18" t="str">
        <f>'(FnCalls 1)'!G12</f>
        <v>Q2 2012</v>
      </c>
      <c r="K23" s="18" t="str">
        <f>'(FnCalls 1)'!G13</f>
        <v>Q3 2012</v>
      </c>
      <c r="L23" s="18" t="str">
        <f>'(FnCalls 1)'!G14</f>
        <v>Q4 2012</v>
      </c>
      <c r="M23" s="62" t="str">
        <f>'(FnCalls 1)'!H11</f>
        <v>2012</v>
      </c>
    </row>
    <row r="24" spans="1:13" ht="12.75" hidden="1" customHeight="1" outlineLevel="1" x14ac:dyDescent="0.2">
      <c r="A24" s="111" t="str">
        <f>Labels!B17</f>
        <v xml:space="preserve">Cash Flow - Fixed Investment </v>
      </c>
      <c r="B24" s="110"/>
      <c r="C24" s="75"/>
      <c r="D24" s="110"/>
      <c r="E24" s="110"/>
      <c r="F24" s="110"/>
      <c r="G24" s="110"/>
      <c r="H24" s="75"/>
      <c r="I24" s="110"/>
      <c r="J24" s="110"/>
      <c r="K24" s="110"/>
      <c r="L24" s="110"/>
      <c r="M24" s="75"/>
    </row>
    <row r="25" spans="1:13" ht="12.75" hidden="1" customHeight="1" outlineLevel="1" x14ac:dyDescent="0.2">
      <c r="A25" s="114" t="str">
        <f>"   "&amp;Labels!B166</f>
        <v xml:space="preserve">   Depreciable</v>
      </c>
      <c r="B25" s="113"/>
      <c r="C25" s="69"/>
      <c r="D25" s="113"/>
      <c r="E25" s="113"/>
      <c r="F25" s="113"/>
      <c r="G25" s="113"/>
      <c r="H25" s="69"/>
      <c r="I25" s="113"/>
      <c r="J25" s="113"/>
      <c r="K25" s="113"/>
      <c r="L25" s="113"/>
      <c r="M25" s="69"/>
    </row>
    <row r="26" spans="1:13" ht="12.75" hidden="1" customHeight="1" outlineLevel="1" x14ac:dyDescent="0.2">
      <c r="A26" s="144" t="str">
        <f>"      "&amp;Labels!B170</f>
        <v xml:space="preserve">      Invest 1</v>
      </c>
      <c r="B26" s="116">
        <f>'Equity Fin'!B75</f>
        <v>0</v>
      </c>
      <c r="C26" s="69">
        <f>'Equity Fin'!B75</f>
        <v>0</v>
      </c>
      <c r="D26" s="116">
        <f>'Equity Fin'!D75</f>
        <v>0</v>
      </c>
      <c r="E26" s="116">
        <f>'Equity Fin'!E75</f>
        <v>0</v>
      </c>
      <c r="F26" s="116">
        <f>'Equity Fin'!F75</f>
        <v>0</v>
      </c>
      <c r="G26" s="116">
        <f>'Equity Fin'!G75</f>
        <v>0</v>
      </c>
      <c r="H26" s="69">
        <f>SUM(D26:G26)</f>
        <v>0</v>
      </c>
      <c r="I26" s="116">
        <f>'Equity Fin'!I75</f>
        <v>0</v>
      </c>
      <c r="J26" s="116">
        <f>'Equity Fin'!J75</f>
        <v>0</v>
      </c>
      <c r="K26" s="116">
        <f>'Equity Fin'!K75</f>
        <v>0</v>
      </c>
      <c r="L26" s="116">
        <f>'Equity Fin'!L75</f>
        <v>0</v>
      </c>
      <c r="M26" s="69">
        <f>SUM(I26:L26)</f>
        <v>0</v>
      </c>
    </row>
    <row r="27" spans="1:13" ht="12.75" hidden="1" customHeight="1" outlineLevel="1" x14ac:dyDescent="0.2">
      <c r="A27" s="144" t="str">
        <f>"      "&amp;Labels!B171</f>
        <v xml:space="preserve">      Invest 2</v>
      </c>
      <c r="B27" s="116">
        <f>'Equity Fin'!B76</f>
        <v>0</v>
      </c>
      <c r="C27" s="69">
        <f>'Equity Fin'!B76</f>
        <v>0</v>
      </c>
      <c r="D27" s="116">
        <f>'Equity Fin'!D76</f>
        <v>0</v>
      </c>
      <c r="E27" s="116">
        <f>'Equity Fin'!E76</f>
        <v>0</v>
      </c>
      <c r="F27" s="116">
        <f>'Equity Fin'!F76</f>
        <v>0</v>
      </c>
      <c r="G27" s="116">
        <f>'Equity Fin'!G76</f>
        <v>0</v>
      </c>
      <c r="H27" s="69">
        <f>SUM(D27:G27)</f>
        <v>0</v>
      </c>
      <c r="I27" s="116">
        <f>'Equity Fin'!I76</f>
        <v>0</v>
      </c>
      <c r="J27" s="116">
        <f>'Equity Fin'!J76</f>
        <v>0</v>
      </c>
      <c r="K27" s="116">
        <f>'Equity Fin'!K76</f>
        <v>0</v>
      </c>
      <c r="L27" s="116">
        <f>'Equity Fin'!L76</f>
        <v>0</v>
      </c>
      <c r="M27" s="69">
        <f>SUM(I27:L27)</f>
        <v>0</v>
      </c>
    </row>
    <row r="28" spans="1:13" ht="12.75" hidden="1" customHeight="1" outlineLevel="1" x14ac:dyDescent="0.2">
      <c r="A28" s="114" t="str">
        <f>"      "&amp;Labels!C169</f>
        <v xml:space="preserve">      Total</v>
      </c>
      <c r="B28" s="113">
        <f>SUM(B26:B27)</f>
        <v>0</v>
      </c>
      <c r="C28" s="69">
        <f>SUM(B26:B27)</f>
        <v>0</v>
      </c>
      <c r="D28" s="113">
        <f>SUM(D26:D27)</f>
        <v>0</v>
      </c>
      <c r="E28" s="113">
        <f>SUM(E26:E27)</f>
        <v>0</v>
      </c>
      <c r="F28" s="113">
        <f>SUM(F26:F27)</f>
        <v>0</v>
      </c>
      <c r="G28" s="113">
        <f>SUM(G26:G27)</f>
        <v>0</v>
      </c>
      <c r="H28" s="69">
        <f>SUM(D28:G28)</f>
        <v>0</v>
      </c>
      <c r="I28" s="113">
        <f>SUM(I26:I27)</f>
        <v>0</v>
      </c>
      <c r="J28" s="113">
        <f>SUM(J26:J27)</f>
        <v>0</v>
      </c>
      <c r="K28" s="113">
        <f>SUM(K26:K27)</f>
        <v>0</v>
      </c>
      <c r="L28" s="113">
        <f>SUM(L26:L27)</f>
        <v>0</v>
      </c>
      <c r="M28" s="69">
        <f>SUM(I28:L28)</f>
        <v>0</v>
      </c>
    </row>
    <row r="29" spans="1:13" ht="12.75" hidden="1" customHeight="1" outlineLevel="1" x14ac:dyDescent="0.2">
      <c r="A29" s="114" t="str">
        <f>"   "&amp;Labels!B167</f>
        <v xml:space="preserve">   Non-Deprec</v>
      </c>
      <c r="B29" s="113"/>
      <c r="C29" s="69"/>
      <c r="D29" s="113"/>
      <c r="E29" s="113"/>
      <c r="F29" s="113"/>
      <c r="G29" s="113"/>
      <c r="H29" s="69"/>
      <c r="I29" s="113"/>
      <c r="J29" s="113"/>
      <c r="K29" s="113"/>
      <c r="L29" s="113"/>
      <c r="M29" s="69"/>
    </row>
    <row r="30" spans="1:13" ht="12.75" hidden="1" customHeight="1" outlineLevel="1" x14ac:dyDescent="0.2">
      <c r="A30" s="144" t="str">
        <f>"      "&amp;Labels!B170</f>
        <v xml:space="preserve">      Invest 1</v>
      </c>
      <c r="B30" s="116">
        <f>'Equity Fin'!B79</f>
        <v>0</v>
      </c>
      <c r="C30" s="69">
        <f>'Equity Fin'!B79</f>
        <v>0</v>
      </c>
      <c r="D30" s="116">
        <f>'Equity Fin'!D79</f>
        <v>0</v>
      </c>
      <c r="E30" s="116">
        <f>'Equity Fin'!E79</f>
        <v>0</v>
      </c>
      <c r="F30" s="116">
        <f>'Equity Fin'!F79</f>
        <v>0</v>
      </c>
      <c r="G30" s="116">
        <f>'Equity Fin'!G79</f>
        <v>0</v>
      </c>
      <c r="H30" s="69">
        <f t="shared" ref="H30:H35" si="2">SUM(D30:G30)</f>
        <v>0</v>
      </c>
      <c r="I30" s="116">
        <f>'Equity Fin'!I79</f>
        <v>0</v>
      </c>
      <c r="J30" s="116">
        <f>'Equity Fin'!J79</f>
        <v>0</v>
      </c>
      <c r="K30" s="116">
        <f>'Equity Fin'!K79</f>
        <v>0</v>
      </c>
      <c r="L30" s="116">
        <f>'Equity Fin'!L79</f>
        <v>0</v>
      </c>
      <c r="M30" s="69">
        <f t="shared" ref="M30:M35" si="3">SUM(I30:L30)</f>
        <v>0</v>
      </c>
    </row>
    <row r="31" spans="1:13" ht="12.75" hidden="1" customHeight="1" outlineLevel="1" x14ac:dyDescent="0.2">
      <c r="A31" s="144" t="str">
        <f>"      "&amp;Labels!B171</f>
        <v xml:space="preserve">      Invest 2</v>
      </c>
      <c r="B31" s="116">
        <f>'Equity Fin'!B80</f>
        <v>0</v>
      </c>
      <c r="C31" s="69">
        <f>'Equity Fin'!B80</f>
        <v>0</v>
      </c>
      <c r="D31" s="116">
        <f>'Equity Fin'!D80</f>
        <v>0</v>
      </c>
      <c r="E31" s="116">
        <f>'Equity Fin'!E80</f>
        <v>0</v>
      </c>
      <c r="F31" s="116">
        <f>'Equity Fin'!F80</f>
        <v>0</v>
      </c>
      <c r="G31" s="116">
        <f>'Equity Fin'!G80</f>
        <v>0</v>
      </c>
      <c r="H31" s="69">
        <f t="shared" si="2"/>
        <v>0</v>
      </c>
      <c r="I31" s="116">
        <f>'Equity Fin'!I80</f>
        <v>0</v>
      </c>
      <c r="J31" s="116">
        <f>'Equity Fin'!J80</f>
        <v>0</v>
      </c>
      <c r="K31" s="116">
        <f>'Equity Fin'!K80</f>
        <v>0</v>
      </c>
      <c r="L31" s="116">
        <f>'Equity Fin'!L80</f>
        <v>0</v>
      </c>
      <c r="M31" s="69">
        <f t="shared" si="3"/>
        <v>0</v>
      </c>
    </row>
    <row r="32" spans="1:13" ht="12.75" hidden="1" customHeight="1" outlineLevel="1" x14ac:dyDescent="0.2">
      <c r="A32" s="114" t="str">
        <f>"      "&amp;Labels!C169</f>
        <v xml:space="preserve">      Total</v>
      </c>
      <c r="B32" s="113">
        <f>SUM(B30:B31)</f>
        <v>0</v>
      </c>
      <c r="C32" s="69">
        <f>SUM(B30:B31)</f>
        <v>0</v>
      </c>
      <c r="D32" s="113">
        <f>SUM(D30:D31)</f>
        <v>0</v>
      </c>
      <c r="E32" s="113">
        <f>SUM(E30:E31)</f>
        <v>0</v>
      </c>
      <c r="F32" s="113">
        <f>SUM(F30:F31)</f>
        <v>0</v>
      </c>
      <c r="G32" s="113">
        <f>SUM(G30:G31)</f>
        <v>0</v>
      </c>
      <c r="H32" s="69">
        <f t="shared" si="2"/>
        <v>0</v>
      </c>
      <c r="I32" s="113">
        <f>SUM(I30:I31)</f>
        <v>0</v>
      </c>
      <c r="J32" s="113">
        <f>SUM(J30:J31)</f>
        <v>0</v>
      </c>
      <c r="K32" s="113">
        <f>SUM(K30:K31)</f>
        <v>0</v>
      </c>
      <c r="L32" s="113">
        <f>SUM(L30:L31)</f>
        <v>0</v>
      </c>
      <c r="M32" s="69">
        <f t="shared" si="3"/>
        <v>0</v>
      </c>
    </row>
    <row r="33" spans="1:13" ht="12.75" hidden="1" customHeight="1" outlineLevel="1" x14ac:dyDescent="0.2">
      <c r="A33" s="117" t="str">
        <f>"   "&amp;Labels!C165</f>
        <v xml:space="preserve">   Total</v>
      </c>
      <c r="B33" s="120">
        <f>SUM(B28,B32)</f>
        <v>0</v>
      </c>
      <c r="C33" s="69">
        <f>SUM(B28,B32)</f>
        <v>0</v>
      </c>
      <c r="D33" s="120">
        <f>SUM(D28,D32)</f>
        <v>0</v>
      </c>
      <c r="E33" s="120">
        <f>SUM(E28,E32)</f>
        <v>0</v>
      </c>
      <c r="F33" s="120">
        <f>SUM(F28,F32)</f>
        <v>0</v>
      </c>
      <c r="G33" s="120">
        <f>SUM(G28,G32)</f>
        <v>0</v>
      </c>
      <c r="H33" s="69">
        <f t="shared" si="2"/>
        <v>0</v>
      </c>
      <c r="I33" s="120">
        <f>SUM(I28,I32)</f>
        <v>0</v>
      </c>
      <c r="J33" s="120">
        <f>SUM(J28,J32)</f>
        <v>0</v>
      </c>
      <c r="K33" s="120">
        <f>SUM(K28,K32)</f>
        <v>0</v>
      </c>
      <c r="L33" s="120">
        <f>SUM(L28,L32)</f>
        <v>0</v>
      </c>
      <c r="M33" s="69">
        <f t="shared" si="3"/>
        <v>0</v>
      </c>
    </row>
    <row r="34" spans="1:13" ht="12.75" hidden="1" customHeight="1" outlineLevel="1" x14ac:dyDescent="0.2">
      <c r="A34" s="144" t="str">
        <f>"      "&amp;Labels!B170</f>
        <v xml:space="preserve">      Invest 1</v>
      </c>
      <c r="B34" s="116">
        <f>SUM(B26,B30)</f>
        <v>0</v>
      </c>
      <c r="C34" s="69">
        <f>SUM(B26,B30)</f>
        <v>0</v>
      </c>
      <c r="D34" s="116">
        <f t="shared" ref="D34:G36" si="4">SUM(D26,D30)</f>
        <v>0</v>
      </c>
      <c r="E34" s="116">
        <f t="shared" si="4"/>
        <v>0</v>
      </c>
      <c r="F34" s="116">
        <f t="shared" si="4"/>
        <v>0</v>
      </c>
      <c r="G34" s="116">
        <f t="shared" si="4"/>
        <v>0</v>
      </c>
      <c r="H34" s="69">
        <f t="shared" si="2"/>
        <v>0</v>
      </c>
      <c r="I34" s="116">
        <f t="shared" ref="I34:L36" si="5">SUM(I26,I30)</f>
        <v>0</v>
      </c>
      <c r="J34" s="116">
        <f t="shared" si="5"/>
        <v>0</v>
      </c>
      <c r="K34" s="116">
        <f t="shared" si="5"/>
        <v>0</v>
      </c>
      <c r="L34" s="116">
        <f t="shared" si="5"/>
        <v>0</v>
      </c>
      <c r="M34" s="69">
        <f t="shared" si="3"/>
        <v>0</v>
      </c>
    </row>
    <row r="35" spans="1:13" ht="12.75" hidden="1" customHeight="1" outlineLevel="1" x14ac:dyDescent="0.2">
      <c r="A35" s="144" t="str">
        <f>"      "&amp;Labels!B171</f>
        <v xml:space="preserve">      Invest 2</v>
      </c>
      <c r="B35" s="116">
        <f>SUM(B27,B31)</f>
        <v>0</v>
      </c>
      <c r="C35" s="69">
        <f>SUM(B27,B31)</f>
        <v>0</v>
      </c>
      <c r="D35" s="116">
        <f t="shared" si="4"/>
        <v>0</v>
      </c>
      <c r="E35" s="116">
        <f t="shared" si="4"/>
        <v>0</v>
      </c>
      <c r="F35" s="116">
        <f t="shared" si="4"/>
        <v>0</v>
      </c>
      <c r="G35" s="116">
        <f t="shared" si="4"/>
        <v>0</v>
      </c>
      <c r="H35" s="69">
        <f t="shared" si="2"/>
        <v>0</v>
      </c>
      <c r="I35" s="116">
        <f t="shared" si="5"/>
        <v>0</v>
      </c>
      <c r="J35" s="116">
        <f t="shared" si="5"/>
        <v>0</v>
      </c>
      <c r="K35" s="116">
        <f t="shared" si="5"/>
        <v>0</v>
      </c>
      <c r="L35" s="116">
        <f t="shared" si="5"/>
        <v>0</v>
      </c>
      <c r="M35" s="69">
        <f t="shared" si="3"/>
        <v>0</v>
      </c>
    </row>
    <row r="36" spans="1:13" ht="12.75" hidden="1" customHeight="1" outlineLevel="1" x14ac:dyDescent="0.2">
      <c r="A36" s="145" t="str">
        <f>"      "&amp;Labels!C169</f>
        <v xml:space="preserve">      Total</v>
      </c>
      <c r="B36" s="123">
        <f>SUM(B28,B32)</f>
        <v>0</v>
      </c>
      <c r="C36" s="70">
        <f>SUM(B28,B32)</f>
        <v>0</v>
      </c>
      <c r="D36" s="123">
        <f t="shared" si="4"/>
        <v>0</v>
      </c>
      <c r="E36" s="123">
        <f t="shared" si="4"/>
        <v>0</v>
      </c>
      <c r="F36" s="123">
        <f t="shared" si="4"/>
        <v>0</v>
      </c>
      <c r="G36" s="123">
        <f t="shared" si="4"/>
        <v>0</v>
      </c>
      <c r="H36" s="70">
        <f>SUM(D33:G33)</f>
        <v>0</v>
      </c>
      <c r="I36" s="123">
        <f t="shared" si="5"/>
        <v>0</v>
      </c>
      <c r="J36" s="123">
        <f t="shared" si="5"/>
        <v>0</v>
      </c>
      <c r="K36" s="123">
        <f t="shared" si="5"/>
        <v>0</v>
      </c>
      <c r="L36" s="123">
        <f t="shared" si="5"/>
        <v>0</v>
      </c>
      <c r="M36" s="70">
        <f>SUM(I33:L33)</f>
        <v>0</v>
      </c>
    </row>
    <row r="37" spans="1:13" ht="12.75" hidden="1" customHeight="1" outlineLevel="1" collapsed="1" x14ac:dyDescent="0.2"/>
    <row r="38" spans="1:13" ht="12.75" customHeight="1" collapsed="1" x14ac:dyDescent="0.2">
      <c r="A38" s="272" t="str">
        <f>"Cash Flow - Working Capital"</f>
        <v>Cash Flow - Working Capital</v>
      </c>
      <c r="B38" s="272"/>
    </row>
    <row r="39" spans="1:13" ht="12.75" hidden="1" customHeight="1" outlineLevel="1" x14ac:dyDescent="0.2">
      <c r="A39" s="272" t="str">
        <f>""</f>
        <v/>
      </c>
      <c r="B39" s="272"/>
    </row>
    <row r="40" spans="1:13" ht="12.75" hidden="1" customHeight="1" outlineLevel="1" x14ac:dyDescent="0.2">
      <c r="B40" s="17" t="str">
        <f>'(FnCalls 1)'!G6</f>
        <v>Q4 2010</v>
      </c>
      <c r="C40" s="62" t="str">
        <f>'(FnCalls 1)'!H4</f>
        <v>2010</v>
      </c>
      <c r="D40" s="18" t="str">
        <f>'(FnCalls 1)'!G7</f>
        <v>Q1 2011</v>
      </c>
      <c r="E40" s="18" t="str">
        <f>'(FnCalls 1)'!G8</f>
        <v>Q2 2011</v>
      </c>
      <c r="F40" s="18" t="str">
        <f>'(FnCalls 1)'!G9</f>
        <v>Q3 2011</v>
      </c>
      <c r="G40" s="18" t="str">
        <f>'(FnCalls 1)'!G10</f>
        <v>Q4 2011</v>
      </c>
      <c r="H40" s="62" t="str">
        <f>'(FnCalls 1)'!H7</f>
        <v>2011</v>
      </c>
      <c r="I40" s="18" t="str">
        <f>'(FnCalls 1)'!G11</f>
        <v>Q1 2012</v>
      </c>
      <c r="J40" s="18" t="str">
        <f>'(FnCalls 1)'!G12</f>
        <v>Q2 2012</v>
      </c>
      <c r="K40" s="18" t="str">
        <f>'(FnCalls 1)'!G13</f>
        <v>Q3 2012</v>
      </c>
      <c r="L40" s="18" t="str">
        <f>'(FnCalls 1)'!G14</f>
        <v>Q4 2012</v>
      </c>
      <c r="M40" s="62" t="str">
        <f>'(FnCalls 1)'!H11</f>
        <v>2012</v>
      </c>
    </row>
    <row r="41" spans="1:13" ht="12.75" hidden="1" customHeight="1" outlineLevel="1" x14ac:dyDescent="0.2">
      <c r="A41" s="111" t="str">
        <f>Labels!B21</f>
        <v>Cash Flow - Working Cap</v>
      </c>
      <c r="B41" s="110"/>
      <c r="C41" s="75"/>
      <c r="D41" s="110"/>
      <c r="E41" s="110"/>
      <c r="F41" s="110"/>
      <c r="G41" s="110"/>
      <c r="H41" s="75"/>
      <c r="I41" s="110"/>
      <c r="J41" s="110"/>
      <c r="K41" s="110"/>
      <c r="L41" s="110"/>
      <c r="M41" s="75"/>
    </row>
    <row r="42" spans="1:13" ht="12.75" hidden="1" customHeight="1" outlineLevel="1" x14ac:dyDescent="0.2">
      <c r="A42" s="114" t="str">
        <f>"   "&amp;Labels!B190</f>
        <v xml:space="preserve">   Receivables</v>
      </c>
      <c r="B42" s="113">
        <f>'Equity Fin'!B123</f>
        <v>0</v>
      </c>
      <c r="C42" s="69">
        <f>'Equity Fin'!B123</f>
        <v>0</v>
      </c>
      <c r="D42" s="113">
        <f>'Equity Fin'!D123</f>
        <v>0</v>
      </c>
      <c r="E42" s="113">
        <f>'Equity Fin'!E123</f>
        <v>0</v>
      </c>
      <c r="F42" s="113">
        <f>'Equity Fin'!F123</f>
        <v>0</v>
      </c>
      <c r="G42" s="113">
        <f>'Equity Fin'!G123</f>
        <v>0</v>
      </c>
      <c r="H42" s="69">
        <f>SUM(D42:G42)</f>
        <v>0</v>
      </c>
      <c r="I42" s="113">
        <f>'Equity Fin'!I123</f>
        <v>0</v>
      </c>
      <c r="J42" s="113">
        <f>'Equity Fin'!J123</f>
        <v>0</v>
      </c>
      <c r="K42" s="113">
        <f>'Equity Fin'!K123</f>
        <v>0</v>
      </c>
      <c r="L42" s="113">
        <f>'Equity Fin'!L123</f>
        <v>0</v>
      </c>
      <c r="M42" s="69">
        <f>SUM(I42:L42)</f>
        <v>0</v>
      </c>
    </row>
    <row r="43" spans="1:13" ht="12.75" hidden="1" customHeight="1" outlineLevel="1" x14ac:dyDescent="0.2">
      <c r="A43" s="114" t="str">
        <f>"   "&amp;Labels!B191</f>
        <v xml:space="preserve">   Supplies inventory</v>
      </c>
      <c r="B43" s="113">
        <f>'Equity Fin'!B124</f>
        <v>0</v>
      </c>
      <c r="C43" s="69">
        <f>'Equity Fin'!B124</f>
        <v>0</v>
      </c>
      <c r="D43" s="113">
        <f>'Equity Fin'!D124</f>
        <v>0</v>
      </c>
      <c r="E43" s="113">
        <f>'Equity Fin'!E124</f>
        <v>0</v>
      </c>
      <c r="F43" s="113">
        <f>'Equity Fin'!F124</f>
        <v>0</v>
      </c>
      <c r="G43" s="113">
        <f>'Equity Fin'!G124</f>
        <v>0</v>
      </c>
      <c r="H43" s="69">
        <f>SUM(D43:G43)</f>
        <v>0</v>
      </c>
      <c r="I43" s="113">
        <f>'Equity Fin'!I124</f>
        <v>0</v>
      </c>
      <c r="J43" s="113">
        <f>'Equity Fin'!J124</f>
        <v>0</v>
      </c>
      <c r="K43" s="113">
        <f>'Equity Fin'!K124</f>
        <v>0</v>
      </c>
      <c r="L43" s="113">
        <f>'Equity Fin'!L124</f>
        <v>0</v>
      </c>
      <c r="M43" s="69">
        <f>SUM(I43:L43)</f>
        <v>0</v>
      </c>
    </row>
    <row r="44" spans="1:13" ht="12.75" hidden="1" customHeight="1" outlineLevel="1" x14ac:dyDescent="0.2">
      <c r="A44" s="117" t="str">
        <f>"   "&amp;Labels!C189</f>
        <v xml:space="preserve">   Total</v>
      </c>
      <c r="B44" s="120">
        <f>SUM(B42:B43)</f>
        <v>0</v>
      </c>
      <c r="C44" s="69">
        <f>SUM(B42:B43)</f>
        <v>0</v>
      </c>
      <c r="D44" s="120">
        <f>SUM(D42:D43)</f>
        <v>0</v>
      </c>
      <c r="E44" s="120">
        <f>SUM(E42:E43)</f>
        <v>0</v>
      </c>
      <c r="F44" s="120">
        <f>SUM(F42:F43)</f>
        <v>0</v>
      </c>
      <c r="G44" s="120">
        <f>SUM(G42:G43)</f>
        <v>0</v>
      </c>
      <c r="H44" s="69">
        <f>SUM(D44:G44)</f>
        <v>0</v>
      </c>
      <c r="I44" s="120">
        <f>SUM(I42:I43)</f>
        <v>0</v>
      </c>
      <c r="J44" s="120">
        <f>SUM(J42:J43)</f>
        <v>0</v>
      </c>
      <c r="K44" s="120">
        <f>SUM(K42:K43)</f>
        <v>0</v>
      </c>
      <c r="L44" s="120">
        <f>SUM(L42:L43)</f>
        <v>0</v>
      </c>
      <c r="M44" s="69">
        <f>SUM(I44:L44)</f>
        <v>0</v>
      </c>
    </row>
    <row r="45" spans="1:13" ht="12.75" hidden="1" customHeight="1" outlineLevel="1" x14ac:dyDescent="0.2">
      <c r="A45" s="117" t="str">
        <f>Labels!B131</f>
        <v>Working Capital</v>
      </c>
      <c r="B45" s="120"/>
      <c r="C45" s="69"/>
      <c r="D45" s="120"/>
      <c r="E45" s="120"/>
      <c r="F45" s="120"/>
      <c r="G45" s="120"/>
      <c r="H45" s="69"/>
      <c r="I45" s="120"/>
      <c r="J45" s="120"/>
      <c r="K45" s="120"/>
      <c r="L45" s="120"/>
      <c r="M45" s="69"/>
    </row>
    <row r="46" spans="1:13" ht="12.75" hidden="1" customHeight="1" outlineLevel="1" x14ac:dyDescent="0.2">
      <c r="A46" s="114" t="str">
        <f>"   "&amp;Labels!B190</f>
        <v xml:space="preserve">   Receivables</v>
      </c>
      <c r="B46" s="113">
        <f>Investment!B75</f>
        <v>0</v>
      </c>
      <c r="C46" s="69">
        <f>Investment!B75</f>
        <v>0</v>
      </c>
      <c r="D46" s="113">
        <f>Investment!D75</f>
        <v>0</v>
      </c>
      <c r="E46" s="113">
        <f>Investment!E75</f>
        <v>0</v>
      </c>
      <c r="F46" s="113">
        <f>Investment!F75</f>
        <v>0</v>
      </c>
      <c r="G46" s="113">
        <f>Investment!G75</f>
        <v>0</v>
      </c>
      <c r="H46" s="69">
        <f>Investment!G75</f>
        <v>0</v>
      </c>
      <c r="I46" s="113">
        <f>Investment!I75</f>
        <v>0</v>
      </c>
      <c r="J46" s="113">
        <f>Investment!J75</f>
        <v>0</v>
      </c>
      <c r="K46" s="113">
        <f>Investment!K75</f>
        <v>0</v>
      </c>
      <c r="L46" s="113">
        <f>Investment!L75</f>
        <v>0</v>
      </c>
      <c r="M46" s="69">
        <f>Investment!L75</f>
        <v>0</v>
      </c>
    </row>
    <row r="47" spans="1:13" ht="12.75" hidden="1" customHeight="1" outlineLevel="1" x14ac:dyDescent="0.2">
      <c r="A47" s="114" t="str">
        <f>"   "&amp;Labels!B191</f>
        <v xml:space="preserve">   Supplies inventory</v>
      </c>
      <c r="B47" s="113">
        <f>Investment!B76</f>
        <v>0</v>
      </c>
      <c r="C47" s="69">
        <f>Investment!B76</f>
        <v>0</v>
      </c>
      <c r="D47" s="113">
        <f>Investment!D76</f>
        <v>0</v>
      </c>
      <c r="E47" s="113">
        <f>Investment!E76</f>
        <v>0</v>
      </c>
      <c r="F47" s="113">
        <f>Investment!F76</f>
        <v>0</v>
      </c>
      <c r="G47" s="113">
        <f>Investment!G76</f>
        <v>0</v>
      </c>
      <c r="H47" s="69">
        <f>Investment!G76</f>
        <v>0</v>
      </c>
      <c r="I47" s="113">
        <f>Investment!I76</f>
        <v>0</v>
      </c>
      <c r="J47" s="113">
        <f>Investment!J76</f>
        <v>0</v>
      </c>
      <c r="K47" s="113">
        <f>Investment!K76</f>
        <v>0</v>
      </c>
      <c r="L47" s="113">
        <f>Investment!L76</f>
        <v>0</v>
      </c>
      <c r="M47" s="69">
        <f>Investment!L76</f>
        <v>0</v>
      </c>
    </row>
    <row r="48" spans="1:13" ht="12.75" hidden="1" customHeight="1" outlineLevel="1" x14ac:dyDescent="0.2">
      <c r="A48" s="121" t="str">
        <f>"   "&amp;Labels!C189</f>
        <v xml:space="preserve">   Total</v>
      </c>
      <c r="B48" s="132">
        <f>SUM(B46:B47)</f>
        <v>0</v>
      </c>
      <c r="C48" s="70">
        <f>SUM(B46:B47)</f>
        <v>0</v>
      </c>
      <c r="D48" s="132">
        <f>SUM(D46:D47)</f>
        <v>0</v>
      </c>
      <c r="E48" s="132">
        <f>SUM(E46:E47)</f>
        <v>0</v>
      </c>
      <c r="F48" s="132">
        <f>SUM(F46:F47)</f>
        <v>0</v>
      </c>
      <c r="G48" s="132">
        <f>SUM(G46:G47)</f>
        <v>0</v>
      </c>
      <c r="H48" s="70">
        <f>SUM(G46:G47)</f>
        <v>0</v>
      </c>
      <c r="I48" s="132">
        <f>SUM(I46:I47)</f>
        <v>0</v>
      </c>
      <c r="J48" s="132">
        <f>SUM(J46:J47)</f>
        <v>0</v>
      </c>
      <c r="K48" s="132">
        <f>SUM(K46:K47)</f>
        <v>0</v>
      </c>
      <c r="L48" s="132">
        <f>SUM(L46:L47)</f>
        <v>0</v>
      </c>
      <c r="M48" s="70">
        <f>SUM(L46:L47)</f>
        <v>0</v>
      </c>
    </row>
    <row r="49" spans="1:13" ht="12.75" hidden="1" customHeight="1" outlineLevel="1" collapsed="1" x14ac:dyDescent="0.2"/>
    <row r="50" spans="1:13" ht="12.75" customHeight="1" collapsed="1" x14ac:dyDescent="0.2"/>
    <row r="52" spans="1:13" ht="12.75" customHeight="1" x14ac:dyDescent="0.2">
      <c r="A52" s="2" t="str">
        <f>"Valuation"</f>
        <v>Valuation</v>
      </c>
    </row>
    <row r="53" spans="1:13" ht="12.75" hidden="1" customHeight="1" outlineLevel="1" x14ac:dyDescent="0.2">
      <c r="A53" s="2" t="str">
        <f>""</f>
        <v/>
      </c>
    </row>
    <row r="54" spans="1:13" ht="12.75" hidden="1" customHeight="1" outlineLevel="1" x14ac:dyDescent="0.2">
      <c r="B54" s="17" t="str">
        <f>'(FnCalls 1)'!G6</f>
        <v>Q4 2010</v>
      </c>
      <c r="C54" s="62" t="str">
        <f>'(FnCalls 1)'!H4</f>
        <v>2010</v>
      </c>
      <c r="D54" s="18" t="str">
        <f>'(FnCalls 1)'!G7</f>
        <v>Q1 2011</v>
      </c>
      <c r="E54" s="18" t="str">
        <f>'(FnCalls 1)'!G8</f>
        <v>Q2 2011</v>
      </c>
      <c r="F54" s="18" t="str">
        <f>'(FnCalls 1)'!G9</f>
        <v>Q3 2011</v>
      </c>
      <c r="G54" s="18" t="str">
        <f>'(FnCalls 1)'!G10</f>
        <v>Q4 2011</v>
      </c>
      <c r="H54" s="62" t="str">
        <f>'(FnCalls 1)'!H7</f>
        <v>2011</v>
      </c>
      <c r="I54" s="18" t="str">
        <f>'(FnCalls 1)'!G11</f>
        <v>Q1 2012</v>
      </c>
      <c r="J54" s="18" t="str">
        <f>'(FnCalls 1)'!G12</f>
        <v>Q2 2012</v>
      </c>
      <c r="K54" s="18" t="str">
        <f>'(FnCalls 1)'!G13</f>
        <v>Q3 2012</v>
      </c>
      <c r="L54" s="18" t="str">
        <f>'(FnCalls 1)'!G14</f>
        <v>Q4 2012</v>
      </c>
      <c r="M54" s="62" t="str">
        <f>'(FnCalls 1)'!H11</f>
        <v>2012</v>
      </c>
    </row>
    <row r="55" spans="1:13" ht="12.75" hidden="1" customHeight="1" outlineLevel="1" x14ac:dyDescent="0.2">
      <c r="A55" s="111" t="str">
        <f>Labels!B123</f>
        <v>Valuation</v>
      </c>
      <c r="B55" s="110">
        <f>'Blended Fin'!B10+'Blended Fin'!B10+D55/(1+'(Tables)'!D275)</f>
        <v>0</v>
      </c>
      <c r="C55" s="75">
        <f>B55</f>
        <v>0</v>
      </c>
      <c r="D55" s="110">
        <f>0+'Blended Fin'!D10+E55/(1+'(Tables)'!E275)</f>
        <v>0</v>
      </c>
      <c r="E55" s="110">
        <f>0+'Blended Fin'!E10+F55/(1+'(Tables)'!F275)</f>
        <v>0</v>
      </c>
      <c r="F55" s="110">
        <f>0+'Blended Fin'!F10+G55/(1+'(Tables)'!G275)</f>
        <v>0</v>
      </c>
      <c r="G55" s="110">
        <f>0+'Blended Fin'!G10+I55/(1+'(Tables)'!I275)</f>
        <v>0</v>
      </c>
      <c r="H55" s="75">
        <f>G55</f>
        <v>0</v>
      </c>
      <c r="I55" s="110">
        <f>0+'Blended Fin'!I10+J55/(1+'(Tables)'!J275)</f>
        <v>0</v>
      </c>
      <c r="J55" s="110">
        <f>0+'Blended Fin'!J10+K55/(1+'(Tables)'!K275)</f>
        <v>0</v>
      </c>
      <c r="K55" s="110">
        <f>0+'Blended Fin'!K10+L55/(1+'(Tables)'!L275)</f>
        <v>0</v>
      </c>
      <c r="L55" s="110">
        <f>0+'Blended Fin'!L10+'(Tables)'!B283</f>
        <v>0</v>
      </c>
      <c r="M55" s="75">
        <f>L55</f>
        <v>0</v>
      </c>
    </row>
    <row r="56" spans="1:13" ht="12.75" hidden="1" customHeight="1" outlineLevel="1" x14ac:dyDescent="0.2">
      <c r="A56" s="12"/>
      <c r="B56" s="10"/>
      <c r="C56" s="12"/>
      <c r="D56" s="10"/>
      <c r="E56" s="10"/>
      <c r="F56" s="10"/>
      <c r="G56" s="10"/>
      <c r="H56" s="12"/>
      <c r="I56" s="10"/>
      <c r="J56" s="10"/>
      <c r="K56" s="10"/>
      <c r="L56" s="10"/>
      <c r="M56" s="12"/>
    </row>
    <row r="57" spans="1:13" ht="12.75" hidden="1" customHeight="1" outlineLevel="1" x14ac:dyDescent="0.2">
      <c r="B57" s="17" t="str">
        <f>Labels!B145</f>
        <v>EBITDA</v>
      </c>
      <c r="C57" s="18" t="str">
        <f>Labels!B146</f>
        <v>Fixed Invest</v>
      </c>
      <c r="D57" s="18" t="str">
        <f>Labels!B147</f>
        <v>Inv Tax Credit</v>
      </c>
      <c r="E57" s="18" t="str">
        <f>Labels!B148</f>
        <v>Working Cap</v>
      </c>
      <c r="F57" s="18" t="str">
        <f>Labels!B149</f>
        <v>Income Tax</v>
      </c>
      <c r="G57" s="62" t="str">
        <f>Labels!C144</f>
        <v>Total</v>
      </c>
    </row>
    <row r="58" spans="1:13" ht="12.75" hidden="1" customHeight="1" outlineLevel="1" x14ac:dyDescent="0.2">
      <c r="A58" s="111" t="str">
        <f>Labels!B93</f>
        <v>NPV Equity Financing</v>
      </c>
      <c r="B58" s="110">
        <f>'Equity Fin'!B161</f>
        <v>0</v>
      </c>
      <c r="C58" s="110">
        <f>'Equity Fin'!C161</f>
        <v>0</v>
      </c>
      <c r="D58" s="110">
        <f>'Equity Fin'!D161</f>
        <v>0</v>
      </c>
      <c r="E58" s="110">
        <f>'Equity Fin'!E161</f>
        <v>0</v>
      </c>
      <c r="F58" s="110">
        <f>'Equity Fin'!F161</f>
        <v>0</v>
      </c>
      <c r="G58" s="75">
        <f>SUM(B58:F58)</f>
        <v>0</v>
      </c>
    </row>
    <row r="59" spans="1:13" ht="12.75" hidden="1" customHeight="1" outlineLevel="1" x14ac:dyDescent="0.2">
      <c r="A59" s="12"/>
      <c r="B59" s="10"/>
      <c r="C59" s="10"/>
      <c r="D59" s="10"/>
      <c r="E59" s="10"/>
      <c r="F59" s="10"/>
      <c r="G59" s="12"/>
    </row>
    <row r="60" spans="1:13" ht="12.75" hidden="1" customHeight="1" outlineLevel="1" x14ac:dyDescent="0.2">
      <c r="A60" s="12" t="str">
        <f>Labels!B119</f>
        <v>Tail NPV</v>
      </c>
      <c r="B60" s="108">
        <f>'Equity Fin'!B166</f>
        <v>0</v>
      </c>
    </row>
    <row r="61" spans="1:13" ht="12.75" hidden="1" customHeight="1" outlineLevel="1" x14ac:dyDescent="0.2"/>
    <row r="62" spans="1:13" ht="12.75" hidden="1" customHeight="1" outlineLevel="1" x14ac:dyDescent="0.2">
      <c r="A62" s="272" t="str">
        <f>"Discounted Cash Flow"</f>
        <v>Discounted Cash Flow</v>
      </c>
      <c r="B62" s="272"/>
    </row>
    <row r="63" spans="1:13" ht="12.75" hidden="1" customHeight="1" outlineLevel="2" x14ac:dyDescent="0.2">
      <c r="A63" s="272" t="str">
        <f>" "</f>
        <v xml:space="preserve"> </v>
      </c>
      <c r="B63" s="272"/>
    </row>
    <row r="64" spans="1:13" ht="12.75" hidden="1" customHeight="1" outlineLevel="2" x14ac:dyDescent="0.2">
      <c r="B64" s="17" t="str">
        <f>'(FnCalls 1)'!G6</f>
        <v>Q4 2010</v>
      </c>
      <c r="C64" s="62" t="str">
        <f>'(FnCalls 1)'!H4</f>
        <v>2010</v>
      </c>
      <c r="D64" s="18" t="str">
        <f>'(FnCalls 1)'!G7</f>
        <v>Q1 2011</v>
      </c>
      <c r="E64" s="18" t="str">
        <f>'(FnCalls 1)'!G8</f>
        <v>Q2 2011</v>
      </c>
      <c r="F64" s="18" t="str">
        <f>'(FnCalls 1)'!G9</f>
        <v>Q3 2011</v>
      </c>
      <c r="G64" s="18" t="str">
        <f>'(FnCalls 1)'!G10</f>
        <v>Q4 2011</v>
      </c>
      <c r="H64" s="62" t="str">
        <f>'(FnCalls 1)'!H7</f>
        <v>2011</v>
      </c>
      <c r="I64" s="18" t="str">
        <f>'(FnCalls 1)'!G11</f>
        <v>Q1 2012</v>
      </c>
      <c r="J64" s="18" t="str">
        <f>'(FnCalls 1)'!G12</f>
        <v>Q2 2012</v>
      </c>
      <c r="K64" s="18" t="str">
        <f>'(FnCalls 1)'!G13</f>
        <v>Q3 2012</v>
      </c>
      <c r="L64" s="18" t="str">
        <f>'(FnCalls 1)'!G14</f>
        <v>Q4 2012</v>
      </c>
      <c r="M64" s="62" t="str">
        <f>'(FnCalls 1)'!H11</f>
        <v>2012</v>
      </c>
    </row>
    <row r="65" spans="1:13" ht="12.75" hidden="1" customHeight="1" outlineLevel="2" x14ac:dyDescent="0.2">
      <c r="A65" s="111" t="str">
        <f>Labels!B28</f>
        <v>DCF - Equity Fin</v>
      </c>
      <c r="B65" s="110"/>
      <c r="C65" s="75"/>
      <c r="D65" s="110"/>
      <c r="E65" s="110"/>
      <c r="F65" s="110"/>
      <c r="G65" s="110"/>
      <c r="H65" s="75"/>
      <c r="I65" s="110"/>
      <c r="J65" s="110"/>
      <c r="K65" s="110"/>
      <c r="L65" s="110"/>
      <c r="M65" s="75"/>
    </row>
    <row r="66" spans="1:13" ht="12.75" hidden="1" customHeight="1" outlineLevel="2" x14ac:dyDescent="0.2">
      <c r="A66" s="114" t="str">
        <f>"   "&amp;Labels!B145</f>
        <v xml:space="preserve">   EBITDA</v>
      </c>
      <c r="B66" s="113">
        <f>'Equity Fin'!B175</f>
        <v>0</v>
      </c>
      <c r="C66" s="69">
        <f>'Equity Fin'!B175</f>
        <v>0</v>
      </c>
      <c r="D66" s="113">
        <f>'Equity Fin'!D175</f>
        <v>0</v>
      </c>
      <c r="E66" s="113">
        <f>'Equity Fin'!E175</f>
        <v>0</v>
      </c>
      <c r="F66" s="113">
        <f>'Equity Fin'!F175</f>
        <v>0</v>
      </c>
      <c r="G66" s="113">
        <f>'Equity Fin'!G175</f>
        <v>0</v>
      </c>
      <c r="H66" s="69">
        <f t="shared" ref="H66:H71" si="6">SUM(D66:G66)</f>
        <v>0</v>
      </c>
      <c r="I66" s="113">
        <f>'Equity Fin'!I175</f>
        <v>0</v>
      </c>
      <c r="J66" s="113">
        <f>'Equity Fin'!J175</f>
        <v>0</v>
      </c>
      <c r="K66" s="113">
        <f>'Equity Fin'!K175</f>
        <v>0</v>
      </c>
      <c r="L66" s="113">
        <f>'Equity Fin'!L175</f>
        <v>0</v>
      </c>
      <c r="M66" s="69">
        <f t="shared" ref="M66:M71" si="7">SUM(I66:L66)</f>
        <v>0</v>
      </c>
    </row>
    <row r="67" spans="1:13" ht="12.75" hidden="1" customHeight="1" outlineLevel="2" x14ac:dyDescent="0.2">
      <c r="A67" s="114" t="str">
        <f>"   "&amp;Labels!B146</f>
        <v xml:space="preserve">   Fixed Invest</v>
      </c>
      <c r="B67" s="113">
        <f>'Equity Fin'!B179</f>
        <v>0</v>
      </c>
      <c r="C67" s="69">
        <f>'Equity Fin'!B179</f>
        <v>0</v>
      </c>
      <c r="D67" s="113">
        <f>'Equity Fin'!D179</f>
        <v>0</v>
      </c>
      <c r="E67" s="113">
        <f>'Equity Fin'!E179</f>
        <v>0</v>
      </c>
      <c r="F67" s="113">
        <f>'Equity Fin'!F179</f>
        <v>0</v>
      </c>
      <c r="G67" s="113">
        <f>'Equity Fin'!G179</f>
        <v>0</v>
      </c>
      <c r="H67" s="69">
        <f t="shared" si="6"/>
        <v>0</v>
      </c>
      <c r="I67" s="113">
        <f>'Equity Fin'!I179</f>
        <v>0</v>
      </c>
      <c r="J67" s="113">
        <f>'Equity Fin'!J179</f>
        <v>0</v>
      </c>
      <c r="K67" s="113">
        <f>'Equity Fin'!K179</f>
        <v>0</v>
      </c>
      <c r="L67" s="113">
        <f>'Equity Fin'!L179</f>
        <v>0</v>
      </c>
      <c r="M67" s="69">
        <f t="shared" si="7"/>
        <v>0</v>
      </c>
    </row>
    <row r="68" spans="1:13" ht="12.75" hidden="1" customHeight="1" outlineLevel="2" x14ac:dyDescent="0.2">
      <c r="A68" s="114" t="str">
        <f>"   "&amp;Labels!B147</f>
        <v xml:space="preserve">   Inv Tax Credit</v>
      </c>
      <c r="B68" s="113">
        <f>'Equity Fin'!B183</f>
        <v>0</v>
      </c>
      <c r="C68" s="69">
        <f>'Equity Fin'!B183</f>
        <v>0</v>
      </c>
      <c r="D68" s="113">
        <f>'Equity Fin'!D183</f>
        <v>0</v>
      </c>
      <c r="E68" s="113">
        <f>'Equity Fin'!E183</f>
        <v>0</v>
      </c>
      <c r="F68" s="113">
        <f>'Equity Fin'!F183</f>
        <v>0</v>
      </c>
      <c r="G68" s="113">
        <f>'Equity Fin'!G183</f>
        <v>0</v>
      </c>
      <c r="H68" s="69">
        <f t="shared" si="6"/>
        <v>0</v>
      </c>
      <c r="I68" s="113">
        <f>'Equity Fin'!I183</f>
        <v>0</v>
      </c>
      <c r="J68" s="113">
        <f>'Equity Fin'!J183</f>
        <v>0</v>
      </c>
      <c r="K68" s="113">
        <f>'Equity Fin'!K183</f>
        <v>0</v>
      </c>
      <c r="L68" s="113">
        <f>'Equity Fin'!L183</f>
        <v>0</v>
      </c>
      <c r="M68" s="69">
        <f t="shared" si="7"/>
        <v>0</v>
      </c>
    </row>
    <row r="69" spans="1:13" ht="12.75" hidden="1" customHeight="1" outlineLevel="2" x14ac:dyDescent="0.2">
      <c r="A69" s="114" t="str">
        <f>"   "&amp;Labels!B148</f>
        <v xml:space="preserve">   Working Cap</v>
      </c>
      <c r="B69" s="113">
        <f>'Equity Fin'!B187</f>
        <v>0</v>
      </c>
      <c r="C69" s="69">
        <f>'Equity Fin'!B187</f>
        <v>0</v>
      </c>
      <c r="D69" s="113">
        <f>'Equity Fin'!D187</f>
        <v>0</v>
      </c>
      <c r="E69" s="113">
        <f>'Equity Fin'!E187</f>
        <v>0</v>
      </c>
      <c r="F69" s="113">
        <f>'Equity Fin'!F187</f>
        <v>0</v>
      </c>
      <c r="G69" s="113">
        <f>'Equity Fin'!G187</f>
        <v>0</v>
      </c>
      <c r="H69" s="69">
        <f t="shared" si="6"/>
        <v>0</v>
      </c>
      <c r="I69" s="113">
        <f>'Equity Fin'!I187</f>
        <v>0</v>
      </c>
      <c r="J69" s="113">
        <f>'Equity Fin'!J187</f>
        <v>0</v>
      </c>
      <c r="K69" s="113">
        <f>'Equity Fin'!K187</f>
        <v>0</v>
      </c>
      <c r="L69" s="113">
        <f>'Equity Fin'!L187</f>
        <v>0</v>
      </c>
      <c r="M69" s="69">
        <f t="shared" si="7"/>
        <v>0</v>
      </c>
    </row>
    <row r="70" spans="1:13" ht="12.75" hidden="1" customHeight="1" outlineLevel="2" x14ac:dyDescent="0.2">
      <c r="A70" s="114" t="str">
        <f>"   "&amp;Labels!B149</f>
        <v xml:space="preserve">   Income Tax</v>
      </c>
      <c r="B70" s="113">
        <f>'Equity Fin'!B191</f>
        <v>0</v>
      </c>
      <c r="C70" s="69">
        <f>'Equity Fin'!B191</f>
        <v>0</v>
      </c>
      <c r="D70" s="113">
        <f>'Equity Fin'!D191</f>
        <v>0</v>
      </c>
      <c r="E70" s="113">
        <f>'Equity Fin'!E191</f>
        <v>0</v>
      </c>
      <c r="F70" s="113">
        <f>'Equity Fin'!F191</f>
        <v>0</v>
      </c>
      <c r="G70" s="113">
        <f>'Equity Fin'!G191</f>
        <v>0</v>
      </c>
      <c r="H70" s="69">
        <f t="shared" si="6"/>
        <v>0</v>
      </c>
      <c r="I70" s="113">
        <f>'Equity Fin'!I191</f>
        <v>0</v>
      </c>
      <c r="J70" s="113">
        <f>'Equity Fin'!J191</f>
        <v>0</v>
      </c>
      <c r="K70" s="113">
        <f>'Equity Fin'!K191</f>
        <v>0</v>
      </c>
      <c r="L70" s="113">
        <f>'Equity Fin'!L191</f>
        <v>0</v>
      </c>
      <c r="M70" s="69">
        <f t="shared" si="7"/>
        <v>0</v>
      </c>
    </row>
    <row r="71" spans="1:13" ht="12.75" hidden="1" customHeight="1" outlineLevel="2" x14ac:dyDescent="0.2">
      <c r="A71" s="121" t="str">
        <f>"   "&amp;Labels!C144</f>
        <v xml:space="preserve">   Total</v>
      </c>
      <c r="B71" s="132">
        <f>SUM(B66:B70)</f>
        <v>0</v>
      </c>
      <c r="C71" s="70">
        <f>SUM(B66:B70)</f>
        <v>0</v>
      </c>
      <c r="D71" s="132">
        <f>SUM(D66:D70)</f>
        <v>0</v>
      </c>
      <c r="E71" s="132">
        <f>SUM(E66:E70)</f>
        <v>0</v>
      </c>
      <c r="F71" s="132">
        <f>SUM(F66:F70)</f>
        <v>0</v>
      </c>
      <c r="G71" s="132">
        <f>SUM(G66:G70)</f>
        <v>0</v>
      </c>
      <c r="H71" s="70">
        <f t="shared" si="6"/>
        <v>0</v>
      </c>
      <c r="I71" s="132">
        <f>SUM(I66:I70)</f>
        <v>0</v>
      </c>
      <c r="J71" s="132">
        <f>SUM(J66:J70)</f>
        <v>0</v>
      </c>
      <c r="K71" s="132">
        <f>SUM(K66:K70)</f>
        <v>0</v>
      </c>
      <c r="L71" s="132">
        <f>SUM(L66:L70)</f>
        <v>0</v>
      </c>
      <c r="M71" s="70">
        <f t="shared" si="7"/>
        <v>0</v>
      </c>
    </row>
    <row r="72" spans="1:13" ht="12.75" hidden="1" customHeight="1" outlineLevel="2" collapsed="1" x14ac:dyDescent="0.2"/>
    <row r="73" spans="1:13" ht="12.75" hidden="1" customHeight="1" outlineLevel="1" collapsed="1" x14ac:dyDescent="0.2">
      <c r="A73" s="3" t="str">
        <f>"Return on Investment"</f>
        <v>Return on Investment</v>
      </c>
    </row>
    <row r="74" spans="1:13" ht="12.75" hidden="1" customHeight="1" outlineLevel="2" x14ac:dyDescent="0.2">
      <c r="A74" s="3" t="str">
        <f>" "</f>
        <v xml:space="preserve"> </v>
      </c>
    </row>
    <row r="75" spans="1:13" ht="12.75" hidden="1" customHeight="1" outlineLevel="2" x14ac:dyDescent="0.2">
      <c r="A75" s="111" t="str">
        <f>Labels!B96</f>
        <v>Avg ROC (Yr)</v>
      </c>
      <c r="B75" s="162" t="e">
        <f>4*SUM(Operations!B85:E85,Operations!G85:J85)/SUM(B96:E96,G96:J96)</f>
        <v>#DIV/0!</v>
      </c>
    </row>
    <row r="76" spans="1:13" ht="12.75" hidden="1" customHeight="1" outlineLevel="2" x14ac:dyDescent="0.2">
      <c r="A76" s="121" t="str">
        <f>Labels!B85</f>
        <v>IRR (Yr)</v>
      </c>
      <c r="B76" s="164" t="e">
        <f>'Equity Fin'!B202</f>
        <v>#NUM!</v>
      </c>
    </row>
    <row r="77" spans="1:13" ht="12.75" hidden="1" customHeight="1" outlineLevel="2" collapsed="1" x14ac:dyDescent="0.2"/>
    <row r="78" spans="1:13" ht="12.75" hidden="1" customHeight="1" outlineLevel="1" collapsed="1" x14ac:dyDescent="0.2">
      <c r="A78" s="1" t="str">
        <f>" "</f>
        <v xml:space="preserve"> </v>
      </c>
    </row>
    <row r="79" spans="1:13" ht="12.75" hidden="1" customHeight="1" outlineLevel="1" x14ac:dyDescent="0.2">
      <c r="A79" s="12" t="str">
        <f>Labels!B40</f>
        <v>Discount Method (Direct or CAPM)</v>
      </c>
      <c r="B79" s="167" t="str">
        <f>Inputs!E116</f>
        <v>Direct</v>
      </c>
    </row>
    <row r="80" spans="1:13" ht="12.75" hidden="1" customHeight="1" outlineLevel="1" x14ac:dyDescent="0.2">
      <c r="B80" s="17" t="str">
        <f>'(FnCalls 1)'!G6</f>
        <v>Q4 2010</v>
      </c>
      <c r="C80" s="62" t="str">
        <f>'(FnCalls 1)'!H4</f>
        <v>2010</v>
      </c>
      <c r="D80" s="18" t="str">
        <f>'(FnCalls 1)'!G7</f>
        <v>Q1 2011</v>
      </c>
      <c r="E80" s="18" t="str">
        <f>'(FnCalls 1)'!G8</f>
        <v>Q2 2011</v>
      </c>
      <c r="F80" s="18" t="str">
        <f>'(FnCalls 1)'!G9</f>
        <v>Q3 2011</v>
      </c>
      <c r="G80" s="18" t="str">
        <f>'(FnCalls 1)'!G10</f>
        <v>Q4 2011</v>
      </c>
      <c r="H80" s="62" t="str">
        <f>'(FnCalls 1)'!H7</f>
        <v>2011</v>
      </c>
      <c r="I80" s="18" t="str">
        <f>'(FnCalls 1)'!G11</f>
        <v>Q1 2012</v>
      </c>
      <c r="J80" s="18" t="str">
        <f>'(FnCalls 1)'!G12</f>
        <v>Q2 2012</v>
      </c>
      <c r="K80" s="18" t="str">
        <f>'(FnCalls 1)'!G13</f>
        <v>Q3 2012</v>
      </c>
      <c r="L80" s="18" t="str">
        <f>'(FnCalls 1)'!G14</f>
        <v>Q4 2012</v>
      </c>
      <c r="M80" s="62" t="str">
        <f>'(FnCalls 1)'!H11</f>
        <v>2012</v>
      </c>
    </row>
    <row r="81" spans="1:13" ht="12.75" hidden="1" customHeight="1" outlineLevel="1" x14ac:dyDescent="0.2">
      <c r="A81" s="12" t="str">
        <f>Labels!B42</f>
        <v>Discount Rate (Yr)</v>
      </c>
      <c r="B81" s="168">
        <f>'Equity Fin'!B213</f>
        <v>0.15</v>
      </c>
      <c r="C81" s="83">
        <f>IF(B79="Direct",Inputs!E122,IF(B79="CAPM",Inputs!E130*1+Inputs!E130*(-Investment!B104)+Inputs!E127*0.055*1+Inputs!E127*0.055*(-Investment!B104)+'Equity Fin'!B233*Investment!B104*1+'Equity Fin'!B233*Investment!B104*(-Inputs!E108),0))</f>
        <v>0.15</v>
      </c>
      <c r="D81" s="168">
        <f>'Equity Fin'!D213</f>
        <v>0.15</v>
      </c>
      <c r="E81" s="168">
        <f>'Equity Fin'!E213</f>
        <v>0.15</v>
      </c>
      <c r="F81" s="168">
        <f>'Equity Fin'!F213</f>
        <v>0.15</v>
      </c>
      <c r="G81" s="168">
        <f>'Equity Fin'!G213</f>
        <v>0.15</v>
      </c>
      <c r="H81" s="83">
        <f>IF(B79="Direct",AVERAGE(Inputs!G122:J122),IF(B79="CAPM",AVERAGE(Inputs!G130:J130)*1+AVERAGE(Inputs!G130:J130)*(-Investment!B104)+Inputs!E127*0.055*1+Inputs!E127*0.055*(-Investment!B104)+AVERAGE('Equity Fin'!D233:G233)*Investment!B104*1+AVERAGE('Equity Fin'!D233:G233)*Investment!B104*(-Inputs!J108),0))</f>
        <v>0.15</v>
      </c>
      <c r="I81" s="168">
        <f>'Equity Fin'!I213</f>
        <v>0.15</v>
      </c>
      <c r="J81" s="168">
        <f>'Equity Fin'!J213</f>
        <v>0.15</v>
      </c>
      <c r="K81" s="168">
        <f>'Equity Fin'!K213</f>
        <v>0.15</v>
      </c>
      <c r="L81" s="168">
        <f>'Equity Fin'!L213</f>
        <v>0.15</v>
      </c>
      <c r="M81" s="83">
        <f>IF(B79="Direct",AVERAGE(Inputs!L122:O122),IF(B79="CAPM",AVERAGE(Inputs!L130:O130)*1+AVERAGE(Inputs!L130:O130)*(-Investment!B104)+Inputs!E127*0.055*1+Inputs!E127*0.055*(-Investment!B104)+AVERAGE('Equity Fin'!I233:L233)*Investment!B104*1+AVERAGE('Equity Fin'!I233:L233)*Investment!B104*(-Inputs!O108),0))</f>
        <v>0.15</v>
      </c>
    </row>
    <row r="82" spans="1:13" ht="12.75" hidden="1" customHeight="1" outlineLevel="1" x14ac:dyDescent="0.2"/>
    <row r="83" spans="1:13" ht="12.75" hidden="1" customHeight="1" outlineLevel="1" collapsed="1" x14ac:dyDescent="0.2"/>
    <row r="84" spans="1:13" ht="12.75" customHeight="1" collapsed="1" x14ac:dyDescent="0.2"/>
    <row r="85" spans="1:13" ht="12.75" customHeight="1" x14ac:dyDescent="0.2">
      <c r="A85" s="2" t="str">
        <f>"Book Value"</f>
        <v>Book Value</v>
      </c>
    </row>
    <row r="86" spans="1:13" ht="12.75" hidden="1" customHeight="1" outlineLevel="1" x14ac:dyDescent="0.2">
      <c r="A86" s="2" t="str">
        <f>""</f>
        <v/>
      </c>
    </row>
    <row r="87" spans="1:13" ht="12.75" hidden="1" customHeight="1" outlineLevel="1" x14ac:dyDescent="0.2">
      <c r="B87" s="17" t="str">
        <f>'(FnCalls 1)'!G7</f>
        <v>Q1 2011</v>
      </c>
      <c r="C87" s="18" t="str">
        <f>'(FnCalls 1)'!G8</f>
        <v>Q2 2011</v>
      </c>
      <c r="D87" s="18" t="str">
        <f>'(FnCalls 1)'!G9</f>
        <v>Q3 2011</v>
      </c>
      <c r="E87" s="18" t="str">
        <f>'(FnCalls 1)'!G10</f>
        <v>Q4 2011</v>
      </c>
      <c r="F87" s="62" t="str">
        <f>'(FnCalls 1)'!H7</f>
        <v>2011</v>
      </c>
      <c r="G87" s="18" t="str">
        <f>'(FnCalls 1)'!G11</f>
        <v>Q1 2012</v>
      </c>
      <c r="H87" s="18" t="str">
        <f>'(FnCalls 1)'!G12</f>
        <v>Q2 2012</v>
      </c>
      <c r="I87" s="18" t="str">
        <f>'(FnCalls 1)'!G13</f>
        <v>Q3 2012</v>
      </c>
      <c r="J87" s="18" t="str">
        <f>'(FnCalls 1)'!G14</f>
        <v>Q4 2012</v>
      </c>
      <c r="K87" s="62" t="str">
        <f>'(FnCalls 1)'!H11</f>
        <v>2012</v>
      </c>
    </row>
    <row r="88" spans="1:13" ht="12.75" hidden="1" customHeight="1" outlineLevel="1" x14ac:dyDescent="0.2">
      <c r="A88" s="111" t="str">
        <f>Labels!B10</f>
        <v>Book Value Fixed Inv (Start)</v>
      </c>
      <c r="B88" s="110"/>
      <c r="C88" s="110"/>
      <c r="D88" s="110"/>
      <c r="E88" s="110"/>
      <c r="F88" s="75"/>
      <c r="G88" s="110"/>
      <c r="H88" s="110"/>
      <c r="I88" s="110"/>
      <c r="J88" s="110"/>
      <c r="K88" s="75"/>
    </row>
    <row r="89" spans="1:13" ht="12.75" hidden="1" customHeight="1" outlineLevel="1" x14ac:dyDescent="0.2">
      <c r="A89" s="114" t="str">
        <f>"   "&amp;Labels!B170</f>
        <v xml:space="preserve">   Invest 1</v>
      </c>
      <c r="B89" s="113">
        <f>'Equity Fin'!D251</f>
        <v>0</v>
      </c>
      <c r="C89" s="113">
        <f>'Equity Fin'!E251</f>
        <v>0</v>
      </c>
      <c r="D89" s="113">
        <f>'Equity Fin'!F251</f>
        <v>0</v>
      </c>
      <c r="E89" s="113">
        <f>'Equity Fin'!G251</f>
        <v>0</v>
      </c>
      <c r="F89" s="69">
        <f>'Equity Fin'!D251</f>
        <v>0</v>
      </c>
      <c r="G89" s="113">
        <f>'Equity Fin'!I251</f>
        <v>0</v>
      </c>
      <c r="H89" s="113">
        <f>'Equity Fin'!J251</f>
        <v>0</v>
      </c>
      <c r="I89" s="113">
        <f>'Equity Fin'!K251</f>
        <v>0</v>
      </c>
      <c r="J89" s="113">
        <f>'Equity Fin'!L251</f>
        <v>0</v>
      </c>
      <c r="K89" s="69">
        <f>'Equity Fin'!I251</f>
        <v>0</v>
      </c>
    </row>
    <row r="90" spans="1:13" ht="12.75" hidden="1" customHeight="1" outlineLevel="1" x14ac:dyDescent="0.2">
      <c r="A90" s="114" t="str">
        <f>"   "&amp;Labels!B171</f>
        <v xml:space="preserve">   Invest 2</v>
      </c>
      <c r="B90" s="113">
        <f>'Equity Fin'!D252</f>
        <v>0</v>
      </c>
      <c r="C90" s="113">
        <f>'Equity Fin'!E252</f>
        <v>0</v>
      </c>
      <c r="D90" s="113">
        <f>'Equity Fin'!F252</f>
        <v>0</v>
      </c>
      <c r="E90" s="113">
        <f>'Equity Fin'!G252</f>
        <v>0</v>
      </c>
      <c r="F90" s="69">
        <f>'Equity Fin'!D252</f>
        <v>0</v>
      </c>
      <c r="G90" s="113">
        <f>'Equity Fin'!I252</f>
        <v>0</v>
      </c>
      <c r="H90" s="113">
        <f>'Equity Fin'!J252</f>
        <v>0</v>
      </c>
      <c r="I90" s="113">
        <f>'Equity Fin'!K252</f>
        <v>0</v>
      </c>
      <c r="J90" s="113">
        <f>'Equity Fin'!L252</f>
        <v>0</v>
      </c>
      <c r="K90" s="69">
        <f>'Equity Fin'!I252</f>
        <v>0</v>
      </c>
    </row>
    <row r="91" spans="1:13" ht="12.75" hidden="1" customHeight="1" outlineLevel="1" x14ac:dyDescent="0.2">
      <c r="A91" s="117" t="str">
        <f>"   "&amp;Labels!C169</f>
        <v xml:space="preserve">   Total</v>
      </c>
      <c r="B91" s="120">
        <f>SUM(B89:B90)</f>
        <v>0</v>
      </c>
      <c r="C91" s="120">
        <f>SUM(C89:C90)</f>
        <v>0</v>
      </c>
      <c r="D91" s="120">
        <f>SUM(D89:D90)</f>
        <v>0</v>
      </c>
      <c r="E91" s="120">
        <f>SUM(E89:E90)</f>
        <v>0</v>
      </c>
      <c r="F91" s="69">
        <f>SUM(B89:B90)</f>
        <v>0</v>
      </c>
      <c r="G91" s="120">
        <f>SUM(G89:G90)</f>
        <v>0</v>
      </c>
      <c r="H91" s="120">
        <f>SUM(H89:H90)</f>
        <v>0</v>
      </c>
      <c r="I91" s="120">
        <f>SUM(I89:I90)</f>
        <v>0</v>
      </c>
      <c r="J91" s="120">
        <f>SUM(J89:J90)</f>
        <v>0</v>
      </c>
      <c r="K91" s="69">
        <f>SUM(G89:G90)</f>
        <v>0</v>
      </c>
    </row>
    <row r="92" spans="1:13" ht="12.75" hidden="1" customHeight="1" outlineLevel="1" x14ac:dyDescent="0.2">
      <c r="A92" s="117" t="str">
        <f>Labels!B35</f>
        <v>Depreciation</v>
      </c>
      <c r="B92" s="120"/>
      <c r="C92" s="120"/>
      <c r="D92" s="120"/>
      <c r="E92" s="120"/>
      <c r="F92" s="69"/>
      <c r="G92" s="120"/>
      <c r="H92" s="120"/>
      <c r="I92" s="120"/>
      <c r="J92" s="120"/>
      <c r="K92" s="69"/>
    </row>
    <row r="93" spans="1:13" ht="12.75" hidden="1" customHeight="1" outlineLevel="1" x14ac:dyDescent="0.2">
      <c r="A93" s="114" t="str">
        <f>"   "&amp;Labels!B170</f>
        <v xml:space="preserve">   Invest 1</v>
      </c>
      <c r="B93" s="113">
        <f>Investment!D152</f>
        <v>0</v>
      </c>
      <c r="C93" s="113">
        <f>Investment!E152</f>
        <v>0</v>
      </c>
      <c r="D93" s="113">
        <f>Investment!F152</f>
        <v>0</v>
      </c>
      <c r="E93" s="113">
        <f>Investment!G152</f>
        <v>0</v>
      </c>
      <c r="F93" s="69">
        <f>SUM(B93:E93)</f>
        <v>0</v>
      </c>
      <c r="G93" s="113">
        <f>Investment!I152</f>
        <v>0</v>
      </c>
      <c r="H93" s="113">
        <f>Investment!J152</f>
        <v>0</v>
      </c>
      <c r="I93" s="113">
        <f>Investment!K152</f>
        <v>0</v>
      </c>
      <c r="J93" s="113">
        <f>Investment!L152</f>
        <v>0</v>
      </c>
      <c r="K93" s="69">
        <f>SUM(G93:J93)</f>
        <v>0</v>
      </c>
    </row>
    <row r="94" spans="1:13" ht="12.75" hidden="1" customHeight="1" outlineLevel="1" x14ac:dyDescent="0.2">
      <c r="A94" s="114" t="str">
        <f>"   "&amp;Labels!B171</f>
        <v xml:space="preserve">   Invest 2</v>
      </c>
      <c r="B94" s="113">
        <f>Investment!D153</f>
        <v>0</v>
      </c>
      <c r="C94" s="113">
        <f>Investment!E153</f>
        <v>0</v>
      </c>
      <c r="D94" s="113">
        <f>Investment!F153</f>
        <v>0</v>
      </c>
      <c r="E94" s="113">
        <f>Investment!G153</f>
        <v>0</v>
      </c>
      <c r="F94" s="69">
        <f>SUM(B94:E94)</f>
        <v>0</v>
      </c>
      <c r="G94" s="113">
        <f>Investment!I153</f>
        <v>0</v>
      </c>
      <c r="H94" s="113">
        <f>Investment!J153</f>
        <v>0</v>
      </c>
      <c r="I94" s="113">
        <f>Investment!K153</f>
        <v>0</v>
      </c>
      <c r="J94" s="113">
        <f>Investment!L153</f>
        <v>0</v>
      </c>
      <c r="K94" s="69">
        <f>SUM(G94:J94)</f>
        <v>0</v>
      </c>
    </row>
    <row r="95" spans="1:13" ht="12.75" hidden="1" customHeight="1" outlineLevel="1" x14ac:dyDescent="0.2">
      <c r="A95" s="117" t="str">
        <f>"   "&amp;Labels!C169</f>
        <v xml:space="preserve">   Total</v>
      </c>
      <c r="B95" s="120">
        <f>SUM(B93:B94)</f>
        <v>0</v>
      </c>
      <c r="C95" s="120">
        <f>SUM(C93:C94)</f>
        <v>0</v>
      </c>
      <c r="D95" s="120">
        <f>SUM(D93:D94)</f>
        <v>0</v>
      </c>
      <c r="E95" s="120">
        <f>SUM(E93:E94)</f>
        <v>0</v>
      </c>
      <c r="F95" s="69">
        <f>SUM(B95:E95)</f>
        <v>0</v>
      </c>
      <c r="G95" s="120">
        <f>SUM(G93:G94)</f>
        <v>0</v>
      </c>
      <c r="H95" s="120">
        <f>SUM(H93:H94)</f>
        <v>0</v>
      </c>
      <c r="I95" s="120">
        <f>SUM(I93:I94)</f>
        <v>0</v>
      </c>
      <c r="J95" s="120">
        <f>SUM(J93:J94)</f>
        <v>0</v>
      </c>
      <c r="K95" s="69">
        <f>SUM(G95:J95)</f>
        <v>0</v>
      </c>
    </row>
    <row r="96" spans="1:13" ht="12.75" hidden="1" customHeight="1" outlineLevel="1" x14ac:dyDescent="0.2">
      <c r="A96" s="121" t="str">
        <f>Labels!B13</f>
        <v>Average Capital</v>
      </c>
      <c r="B96" s="132">
        <f>Investment!D124</f>
        <v>0</v>
      </c>
      <c r="C96" s="132">
        <f>Investment!E124</f>
        <v>0</v>
      </c>
      <c r="D96" s="132">
        <f>Investment!F124</f>
        <v>0</v>
      </c>
      <c r="E96" s="132">
        <f>Investment!G124</f>
        <v>0</v>
      </c>
      <c r="F96" s="70">
        <f>AVERAGE(B96:E96)</f>
        <v>0</v>
      </c>
      <c r="G96" s="132">
        <f>Investment!I124</f>
        <v>0</v>
      </c>
      <c r="H96" s="132">
        <f>Investment!J124</f>
        <v>0</v>
      </c>
      <c r="I96" s="132">
        <f>Investment!K124</f>
        <v>0</v>
      </c>
      <c r="J96" s="132">
        <f>Investment!L124</f>
        <v>0</v>
      </c>
      <c r="K96" s="70">
        <f>AVERAGE(G96:J96)</f>
        <v>0</v>
      </c>
    </row>
    <row r="97" spans="1:13" ht="12.75" hidden="1" customHeight="1" outlineLevel="1" collapsed="1" x14ac:dyDescent="0.2"/>
    <row r="98" spans="1:13" ht="12.75" customHeight="1" collapsed="1" x14ac:dyDescent="0.2">
      <c r="A98" t="s">
        <v>841</v>
      </c>
      <c r="B98" t="s">
        <v>841</v>
      </c>
      <c r="C98" t="s">
        <v>841</v>
      </c>
      <c r="D98" t="s">
        <v>841</v>
      </c>
      <c r="E98" t="s">
        <v>841</v>
      </c>
      <c r="F98" t="s">
        <v>841</v>
      </c>
      <c r="G98" t="s">
        <v>841</v>
      </c>
      <c r="H98" t="s">
        <v>841</v>
      </c>
      <c r="I98" t="s">
        <v>841</v>
      </c>
      <c r="J98" t="s">
        <v>841</v>
      </c>
      <c r="K98" t="s">
        <v>841</v>
      </c>
      <c r="L98" t="s">
        <v>841</v>
      </c>
      <c r="M98" t="s">
        <v>841</v>
      </c>
    </row>
  </sheetData>
  <mergeCells count="10">
    <mergeCell ref="A38:B38"/>
    <mergeCell ref="A39:B39"/>
    <mergeCell ref="A62:B62"/>
    <mergeCell ref="A63:B63"/>
    <mergeCell ref="A1:D1"/>
    <mergeCell ref="A2:D2"/>
    <mergeCell ref="A3:D3"/>
    <mergeCell ref="A4:D4"/>
    <mergeCell ref="A21:B21"/>
    <mergeCell ref="A22:B22"/>
  </mergeCells>
  <pageMargins left="0.25" right="0.25" top="0.5" bottom="0.5" header="0.5" footer="0.5"/>
  <pageSetup paperSize="9" fitToHeight="32767" orientation="landscape"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M353"/>
  <sheetViews>
    <sheetView zoomScaleNormal="100" workbookViewId="0"/>
  </sheetViews>
  <sheetFormatPr defaultRowHeight="12.75" customHeight="1" outlineLevelRow="3" x14ac:dyDescent="0.2"/>
  <cols>
    <col min="1" max="1" width="30.85546875" customWidth="1"/>
    <col min="2" max="2" width="17.85546875" customWidth="1"/>
    <col min="3" max="13" width="16" customWidth="1"/>
  </cols>
  <sheetData>
    <row r="1" spans="1:13" ht="12.75" customHeight="1" x14ac:dyDescent="0.2">
      <c r="A1" s="270" t="str">
        <f>Inputs!E7</f>
        <v>ModelSheet Software</v>
      </c>
      <c r="B1" s="270"/>
      <c r="C1" s="270"/>
      <c r="D1" s="270"/>
    </row>
    <row r="2" spans="1:13" ht="12.75" customHeight="1" x14ac:dyDescent="0.2">
      <c r="A2" s="270" t="str">
        <f>Inputs!E9</f>
        <v>Project Test</v>
      </c>
      <c r="B2" s="270"/>
      <c r="C2" s="270"/>
      <c r="D2" s="270"/>
    </row>
    <row r="3" spans="1:13" ht="12.75" customHeight="1" x14ac:dyDescent="0.2">
      <c r="A3" s="270" t="str">
        <f>"Blended Financing"</f>
        <v>Blended Financing</v>
      </c>
      <c r="B3" s="270"/>
      <c r="C3" s="270"/>
      <c r="D3" s="270"/>
    </row>
    <row r="4" spans="1:13" ht="12.75" customHeight="1" x14ac:dyDescent="0.2">
      <c r="A4" s="270" t="str">
        <f>" "</f>
        <v xml:space="preserve"> </v>
      </c>
      <c r="B4" s="270"/>
      <c r="C4" s="270"/>
      <c r="D4" s="270"/>
    </row>
    <row r="5" spans="1:13" ht="12.75" customHeight="1" x14ac:dyDescent="0.2">
      <c r="A5" s="2" t="str">
        <f>"Cash Flow"</f>
        <v>Cash Flow</v>
      </c>
    </row>
    <row r="6" spans="1:13" ht="12.75" customHeight="1" x14ac:dyDescent="0.2">
      <c r="A6" s="2" t="str">
        <f>""</f>
        <v/>
      </c>
    </row>
    <row r="7" spans="1:13" ht="12.75" customHeight="1" x14ac:dyDescent="0.2">
      <c r="B7" s="17" t="str">
        <f>'(FnCalls 1)'!G6</f>
        <v>Q4 2010</v>
      </c>
      <c r="C7" s="62" t="str">
        <f>'(FnCalls 1)'!H4</f>
        <v>2010</v>
      </c>
      <c r="D7" s="18" t="str">
        <f>'(FnCalls 1)'!G7</f>
        <v>Q1 2011</v>
      </c>
      <c r="E7" s="18" t="str">
        <f>'(FnCalls 1)'!G8</f>
        <v>Q2 2011</v>
      </c>
      <c r="F7" s="18" t="str">
        <f>'(FnCalls 1)'!G9</f>
        <v>Q3 2011</v>
      </c>
      <c r="G7" s="18" t="str">
        <f>'(FnCalls 1)'!G10</f>
        <v>Q4 2011</v>
      </c>
      <c r="H7" s="62" t="str">
        <f>'(FnCalls 1)'!H7</f>
        <v>2011</v>
      </c>
      <c r="I7" s="18" t="str">
        <f>'(FnCalls 1)'!G11</f>
        <v>Q1 2012</v>
      </c>
      <c r="J7" s="18" t="str">
        <f>'(FnCalls 1)'!G12</f>
        <v>Q2 2012</v>
      </c>
      <c r="K7" s="18" t="str">
        <f>'(FnCalls 1)'!G13</f>
        <v>Q3 2012</v>
      </c>
      <c r="L7" s="18" t="str">
        <f>'(FnCalls 1)'!G14</f>
        <v>Q4 2012</v>
      </c>
      <c r="M7" s="62" t="str">
        <f>'(FnCalls 1)'!H11</f>
        <v>2012</v>
      </c>
    </row>
    <row r="8" spans="1:13" ht="12.75" customHeight="1" x14ac:dyDescent="0.2">
      <c r="A8" s="111" t="str">
        <f>Labels!B14</f>
        <v>Cash Flow</v>
      </c>
      <c r="B8" s="110"/>
      <c r="C8" s="75"/>
      <c r="D8" s="110"/>
      <c r="E8" s="110"/>
      <c r="F8" s="110"/>
      <c r="G8" s="110"/>
      <c r="H8" s="75"/>
      <c r="I8" s="110"/>
      <c r="J8" s="110"/>
      <c r="K8" s="110"/>
      <c r="L8" s="110"/>
      <c r="M8" s="75"/>
    </row>
    <row r="9" spans="1:13" ht="12.75" customHeight="1" x14ac:dyDescent="0.2">
      <c r="A9" s="114" t="str">
        <f>"   "&amp;Labels!B182</f>
        <v xml:space="preserve">   Catamarans</v>
      </c>
      <c r="B9" s="113">
        <f>SUM(B18:B25)</f>
        <v>0</v>
      </c>
      <c r="C9" s="69">
        <f>SUM(B18:B25)</f>
        <v>0</v>
      </c>
      <c r="D9" s="113">
        <f>SUM(D18:D25)</f>
        <v>0</v>
      </c>
      <c r="E9" s="113">
        <f>SUM(E18:E25)</f>
        <v>0</v>
      </c>
      <c r="F9" s="113">
        <f>SUM(F18:F25)</f>
        <v>0</v>
      </c>
      <c r="G9" s="113">
        <f>SUM(G18:G25)</f>
        <v>0</v>
      </c>
      <c r="H9" s="69">
        <f>SUM(D9:G9)</f>
        <v>0</v>
      </c>
      <c r="I9" s="113">
        <f>SUM(I18:I25)</f>
        <v>0</v>
      </c>
      <c r="J9" s="113">
        <f>SUM(J18:J25)</f>
        <v>0</v>
      </c>
      <c r="K9" s="113">
        <f>SUM(K18:K25)</f>
        <v>0</v>
      </c>
      <c r="L9" s="113">
        <f>SUM(L18:L25)</f>
        <v>0</v>
      </c>
      <c r="M9" s="69">
        <f>SUM(I9:L9)</f>
        <v>0</v>
      </c>
    </row>
    <row r="10" spans="1:13" ht="12.75" customHeight="1" x14ac:dyDescent="0.2">
      <c r="A10" s="114" t="str">
        <f>"   "&amp;Labels!B183</f>
        <v xml:space="preserve">   Canoes</v>
      </c>
      <c r="B10" s="113">
        <f>SUM(B28:B35)</f>
        <v>0</v>
      </c>
      <c r="C10" s="69">
        <f>SUM(B28:B35)</f>
        <v>0</v>
      </c>
      <c r="D10" s="113">
        <f>SUM(D28:D35)</f>
        <v>0</v>
      </c>
      <c r="E10" s="113">
        <f>SUM(E28:E35)</f>
        <v>0</v>
      </c>
      <c r="F10" s="113">
        <f>SUM(F28:F35)</f>
        <v>0</v>
      </c>
      <c r="G10" s="113">
        <f>SUM(G28:G35)</f>
        <v>0</v>
      </c>
      <c r="H10" s="69">
        <f>SUM(D10:G10)</f>
        <v>0</v>
      </c>
      <c r="I10" s="113">
        <f>SUM(I28:I35)</f>
        <v>0</v>
      </c>
      <c r="J10" s="113">
        <f>SUM(J28:J35)</f>
        <v>0</v>
      </c>
      <c r="K10" s="113">
        <f>SUM(K28:K35)</f>
        <v>0</v>
      </c>
      <c r="L10" s="113">
        <f>SUM(L28:L35)</f>
        <v>0</v>
      </c>
      <c r="M10" s="69">
        <f>SUM(I10:L10)</f>
        <v>0</v>
      </c>
    </row>
    <row r="11" spans="1:13" ht="12.75" customHeight="1" x14ac:dyDescent="0.2">
      <c r="A11" s="121" t="str">
        <f>"   "&amp;Labels!C181</f>
        <v xml:space="preserve">   Total</v>
      </c>
      <c r="B11" s="132">
        <f>SUM(B9:B10)</f>
        <v>0</v>
      </c>
      <c r="C11" s="70">
        <f>SUM(B9:B10)</f>
        <v>0</v>
      </c>
      <c r="D11" s="132">
        <f>SUM(D9:D10)</f>
        <v>0</v>
      </c>
      <c r="E11" s="132">
        <f>SUM(E9:E10)</f>
        <v>0</v>
      </c>
      <c r="F11" s="132">
        <f>SUM(F9:F10)</f>
        <v>0</v>
      </c>
      <c r="G11" s="132">
        <f>SUM(G9:G10)</f>
        <v>0</v>
      </c>
      <c r="H11" s="70">
        <f>SUM(D11:G11)</f>
        <v>0</v>
      </c>
      <c r="I11" s="132">
        <f>SUM(I9:I10)</f>
        <v>0</v>
      </c>
      <c r="J11" s="132">
        <f>SUM(J9:J10)</f>
        <v>0</v>
      </c>
      <c r="K11" s="132">
        <f>SUM(K9:K10)</f>
        <v>0</v>
      </c>
      <c r="L11" s="132">
        <f>SUM(L9:L10)</f>
        <v>0</v>
      </c>
      <c r="M11" s="70">
        <f>SUM(I11:L11)</f>
        <v>0</v>
      </c>
    </row>
    <row r="13" spans="1:13" ht="12.75" customHeight="1" x14ac:dyDescent="0.2">
      <c r="A13" s="3" t="str">
        <f>"Cash Flow - Detail"</f>
        <v>Cash Flow - Detail</v>
      </c>
    </row>
    <row r="14" spans="1:13" ht="12.75" hidden="1" customHeight="1" outlineLevel="1" x14ac:dyDescent="0.2">
      <c r="A14" s="3" t="str">
        <f>" "</f>
        <v xml:space="preserve"> </v>
      </c>
    </row>
    <row r="15" spans="1:13" ht="12.75" hidden="1" customHeight="1" outlineLevel="1" x14ac:dyDescent="0.2">
      <c r="B15" s="17" t="str">
        <f>'(FnCalls 1)'!G6</f>
        <v>Q4 2010</v>
      </c>
      <c r="C15" s="62" t="str">
        <f>'(FnCalls 1)'!H4</f>
        <v>2010</v>
      </c>
      <c r="D15" s="18" t="str">
        <f>'(FnCalls 1)'!G7</f>
        <v>Q1 2011</v>
      </c>
      <c r="E15" s="18" t="str">
        <f>'(FnCalls 1)'!G8</f>
        <v>Q2 2011</v>
      </c>
      <c r="F15" s="18" t="str">
        <f>'(FnCalls 1)'!G9</f>
        <v>Q3 2011</v>
      </c>
      <c r="G15" s="18" t="str">
        <f>'(FnCalls 1)'!G10</f>
        <v>Q4 2011</v>
      </c>
      <c r="H15" s="62" t="str">
        <f>'(FnCalls 1)'!H7</f>
        <v>2011</v>
      </c>
      <c r="I15" s="18" t="str">
        <f>'(FnCalls 1)'!G11</f>
        <v>Q1 2012</v>
      </c>
      <c r="J15" s="18" t="str">
        <f>'(FnCalls 1)'!G12</f>
        <v>Q2 2012</v>
      </c>
      <c r="K15" s="18" t="str">
        <f>'(FnCalls 1)'!G13</f>
        <v>Q3 2012</v>
      </c>
      <c r="L15" s="18" t="str">
        <f>'(FnCalls 1)'!G14</f>
        <v>Q4 2012</v>
      </c>
      <c r="M15" s="62" t="str">
        <f>'(FnCalls 1)'!H11</f>
        <v>2012</v>
      </c>
    </row>
    <row r="16" spans="1:13" ht="12.75" hidden="1" customHeight="1" outlineLevel="1" x14ac:dyDescent="0.2">
      <c r="A16" s="111" t="str">
        <f>Labels!B14</f>
        <v>Cash Flow</v>
      </c>
      <c r="B16" s="110"/>
      <c r="C16" s="75"/>
      <c r="D16" s="110"/>
      <c r="E16" s="110"/>
      <c r="F16" s="110"/>
      <c r="G16" s="110"/>
      <c r="H16" s="75"/>
      <c r="I16" s="110"/>
      <c r="J16" s="110"/>
      <c r="K16" s="110"/>
      <c r="L16" s="110"/>
      <c r="M16" s="75"/>
    </row>
    <row r="17" spans="1:13" ht="12.75" hidden="1" customHeight="1" outlineLevel="1" x14ac:dyDescent="0.2">
      <c r="A17" s="114" t="str">
        <f>"   "&amp;Labels!B182</f>
        <v xml:space="preserve">   Catamarans</v>
      </c>
      <c r="B17" s="113"/>
      <c r="C17" s="69"/>
      <c r="D17" s="113"/>
      <c r="E17" s="113"/>
      <c r="F17" s="113"/>
      <c r="G17" s="113"/>
      <c r="H17" s="69"/>
      <c r="I17" s="113"/>
      <c r="J17" s="113"/>
      <c r="K17" s="113"/>
      <c r="L17" s="113"/>
      <c r="M17" s="69"/>
    </row>
    <row r="18" spans="1:13" ht="12.75" hidden="1" customHeight="1" outlineLevel="1" x14ac:dyDescent="0.2">
      <c r="A18" s="144" t="str">
        <f>"      "&amp;Labels!B135</f>
        <v xml:space="preserve">      EBITDA</v>
      </c>
      <c r="B18" s="159">
        <f>0</f>
        <v>0</v>
      </c>
      <c r="C18" s="69">
        <f t="shared" ref="C18:C25" si="0">B18</f>
        <v>0</v>
      </c>
      <c r="D18" s="159">
        <f>Operations!B46</f>
        <v>0</v>
      </c>
      <c r="E18" s="159">
        <f>Operations!C46</f>
        <v>0</v>
      </c>
      <c r="F18" s="159">
        <f>Operations!D46</f>
        <v>0</v>
      </c>
      <c r="G18" s="159">
        <f>Operations!E46</f>
        <v>0</v>
      </c>
      <c r="H18" s="69">
        <f t="shared" ref="H18:H26" si="1">SUM(D18:G18)</f>
        <v>0</v>
      </c>
      <c r="I18" s="159">
        <f>Operations!G46</f>
        <v>0</v>
      </c>
      <c r="J18" s="159">
        <f>Operations!H46</f>
        <v>0</v>
      </c>
      <c r="K18" s="159">
        <f>Operations!I46</f>
        <v>0</v>
      </c>
      <c r="L18" s="159">
        <f>Operations!J46</f>
        <v>0</v>
      </c>
      <c r="M18" s="69">
        <f t="shared" ref="M18:M26" si="2">SUM(I18:L18)</f>
        <v>0</v>
      </c>
    </row>
    <row r="19" spans="1:13" ht="12.75" hidden="1" customHeight="1" outlineLevel="1" x14ac:dyDescent="0.2">
      <c r="A19" s="144" t="str">
        <f>"      "&amp;Labels!B136</f>
        <v xml:space="preserve">      Fixed Invest</v>
      </c>
      <c r="B19" s="159">
        <f>B55</f>
        <v>0</v>
      </c>
      <c r="C19" s="69">
        <f t="shared" si="0"/>
        <v>0</v>
      </c>
      <c r="D19" s="159">
        <f>D55</f>
        <v>0</v>
      </c>
      <c r="E19" s="159">
        <f>E55</f>
        <v>0</v>
      </c>
      <c r="F19" s="159">
        <f>F55</f>
        <v>0</v>
      </c>
      <c r="G19" s="159">
        <f>G55</f>
        <v>0</v>
      </c>
      <c r="H19" s="69">
        <f t="shared" si="1"/>
        <v>0</v>
      </c>
      <c r="I19" s="159">
        <f>I55</f>
        <v>0</v>
      </c>
      <c r="J19" s="159">
        <f>J55</f>
        <v>0</v>
      </c>
      <c r="K19" s="159">
        <f>K55</f>
        <v>0</v>
      </c>
      <c r="L19" s="159">
        <f>L55</f>
        <v>0</v>
      </c>
      <c r="M19" s="69">
        <f t="shared" si="2"/>
        <v>0</v>
      </c>
    </row>
    <row r="20" spans="1:13" ht="12.75" hidden="1" customHeight="1" outlineLevel="1" x14ac:dyDescent="0.2">
      <c r="A20" s="144" t="str">
        <f>"      "&amp;Labels!B137</f>
        <v xml:space="preserve">      Inv Tax Credit</v>
      </c>
      <c r="B20" s="159">
        <f>'(Tables)'!B235</f>
        <v>0</v>
      </c>
      <c r="C20" s="69">
        <f t="shared" si="0"/>
        <v>0</v>
      </c>
      <c r="D20" s="159">
        <f>'(Tables)'!D235</f>
        <v>0</v>
      </c>
      <c r="E20" s="159">
        <f>'(Tables)'!E235</f>
        <v>0</v>
      </c>
      <c r="F20" s="159">
        <f>'(Tables)'!F235</f>
        <v>0</v>
      </c>
      <c r="G20" s="159">
        <f>'(Tables)'!G235</f>
        <v>0</v>
      </c>
      <c r="H20" s="69">
        <f t="shared" si="1"/>
        <v>0</v>
      </c>
      <c r="I20" s="159">
        <f>'(Tables)'!I235</f>
        <v>0</v>
      </c>
      <c r="J20" s="159">
        <f>'(Tables)'!J235</f>
        <v>0</v>
      </c>
      <c r="K20" s="159">
        <f>'(Tables)'!K235</f>
        <v>0</v>
      </c>
      <c r="L20" s="159">
        <f>'(Tables)'!L235</f>
        <v>0</v>
      </c>
      <c r="M20" s="69">
        <f t="shared" si="2"/>
        <v>0</v>
      </c>
    </row>
    <row r="21" spans="1:13" ht="12.75" hidden="1" customHeight="1" outlineLevel="1" x14ac:dyDescent="0.2">
      <c r="A21" s="144" t="str">
        <f>"      "&amp;Labels!B138</f>
        <v xml:space="preserve">      Working Cap</v>
      </c>
      <c r="B21" s="159">
        <f>'Equity Fin'!B105</f>
        <v>0</v>
      </c>
      <c r="C21" s="69">
        <f t="shared" si="0"/>
        <v>0</v>
      </c>
      <c r="D21" s="159">
        <f>'Equity Fin'!D105</f>
        <v>0</v>
      </c>
      <c r="E21" s="159">
        <f>'Equity Fin'!E105</f>
        <v>0</v>
      </c>
      <c r="F21" s="159">
        <f>'Equity Fin'!F105</f>
        <v>0</v>
      </c>
      <c r="G21" s="159">
        <f>'Equity Fin'!G105</f>
        <v>0</v>
      </c>
      <c r="H21" s="69">
        <f t="shared" si="1"/>
        <v>0</v>
      </c>
      <c r="I21" s="159">
        <f>'Equity Fin'!I105</f>
        <v>0</v>
      </c>
      <c r="J21" s="159">
        <f>'Equity Fin'!J105</f>
        <v>0</v>
      </c>
      <c r="K21" s="159">
        <f>'Equity Fin'!K105</f>
        <v>0</v>
      </c>
      <c r="L21" s="159">
        <f>'Equity Fin'!L105</f>
        <v>0</v>
      </c>
      <c r="M21" s="69">
        <f t="shared" si="2"/>
        <v>0</v>
      </c>
    </row>
    <row r="22" spans="1:13" ht="12.75" hidden="1" customHeight="1" outlineLevel="1" x14ac:dyDescent="0.2">
      <c r="A22" s="144" t="str">
        <f>"      "&amp;Labels!B139</f>
        <v xml:space="preserve">      Debt Principal</v>
      </c>
      <c r="B22" s="159">
        <f>B310</f>
        <v>0</v>
      </c>
      <c r="C22" s="69">
        <f t="shared" si="0"/>
        <v>0</v>
      </c>
      <c r="D22" s="159">
        <f>D310</f>
        <v>0</v>
      </c>
      <c r="E22" s="159">
        <f>E310</f>
        <v>0</v>
      </c>
      <c r="F22" s="159">
        <f>F310</f>
        <v>0</v>
      </c>
      <c r="G22" s="159">
        <f>G310</f>
        <v>0</v>
      </c>
      <c r="H22" s="69">
        <f t="shared" si="1"/>
        <v>0</v>
      </c>
      <c r="I22" s="159">
        <f>I310</f>
        <v>0</v>
      </c>
      <c r="J22" s="159">
        <f>J310</f>
        <v>0</v>
      </c>
      <c r="K22" s="159">
        <f>K310</f>
        <v>0</v>
      </c>
      <c r="L22" s="159">
        <f>L310</f>
        <v>0</v>
      </c>
      <c r="M22" s="69">
        <f t="shared" si="2"/>
        <v>0</v>
      </c>
    </row>
    <row r="23" spans="1:13" ht="12.75" hidden="1" customHeight="1" outlineLevel="1" x14ac:dyDescent="0.2">
      <c r="A23" s="144" t="str">
        <f>"      "&amp;Labels!B140</f>
        <v xml:space="preserve">      Interest Pay</v>
      </c>
      <c r="B23" s="159">
        <f>(-B324)</f>
        <v>0</v>
      </c>
      <c r="C23" s="69">
        <f t="shared" si="0"/>
        <v>0</v>
      </c>
      <c r="D23" s="159">
        <f>(-D324)</f>
        <v>0</v>
      </c>
      <c r="E23" s="159">
        <f>(-E324)</f>
        <v>0</v>
      </c>
      <c r="F23" s="159">
        <f>(-F324)</f>
        <v>0</v>
      </c>
      <c r="G23" s="159">
        <f>(-G324)</f>
        <v>0</v>
      </c>
      <c r="H23" s="69">
        <f t="shared" si="1"/>
        <v>0</v>
      </c>
      <c r="I23" s="159">
        <f>(-I324)</f>
        <v>0</v>
      </c>
      <c r="J23" s="159">
        <f>(-J324)</f>
        <v>0</v>
      </c>
      <c r="K23" s="159">
        <f>(-K324)</f>
        <v>0</v>
      </c>
      <c r="L23" s="159">
        <f>(-L324)</f>
        <v>0</v>
      </c>
      <c r="M23" s="69">
        <f t="shared" si="2"/>
        <v>0</v>
      </c>
    </row>
    <row r="24" spans="1:13" ht="12.75" hidden="1" customHeight="1" outlineLevel="1" x14ac:dyDescent="0.2">
      <c r="A24" s="144" t="str">
        <f>"      "&amp;Labels!B141</f>
        <v xml:space="preserve">      Lease Pay</v>
      </c>
      <c r="B24" s="159">
        <f>(-B341)</f>
        <v>0</v>
      </c>
      <c r="C24" s="69">
        <f t="shared" si="0"/>
        <v>0</v>
      </c>
      <c r="D24" s="159">
        <f>(-D341)</f>
        <v>0</v>
      </c>
      <c r="E24" s="159">
        <f>(-E341)</f>
        <v>0</v>
      </c>
      <c r="F24" s="159">
        <f>(-F341)</f>
        <v>0</v>
      </c>
      <c r="G24" s="159">
        <f>(-G341)</f>
        <v>0</v>
      </c>
      <c r="H24" s="69">
        <f t="shared" si="1"/>
        <v>0</v>
      </c>
      <c r="I24" s="159">
        <f>(-I341)</f>
        <v>0</v>
      </c>
      <c r="J24" s="159">
        <f>(-J341)</f>
        <v>0</v>
      </c>
      <c r="K24" s="159">
        <f>(-K341)</f>
        <v>0</v>
      </c>
      <c r="L24" s="159">
        <f>(-L341)</f>
        <v>0</v>
      </c>
      <c r="M24" s="69">
        <f t="shared" si="2"/>
        <v>0</v>
      </c>
    </row>
    <row r="25" spans="1:13" ht="12.75" hidden="1" customHeight="1" outlineLevel="1" x14ac:dyDescent="0.2">
      <c r="A25" s="144" t="str">
        <f>"      "&amp;Labels!B142</f>
        <v xml:space="preserve">      Income Tax</v>
      </c>
      <c r="B25" s="159">
        <f>0</f>
        <v>0</v>
      </c>
      <c r="C25" s="69">
        <f t="shared" si="0"/>
        <v>0</v>
      </c>
      <c r="D25" s="159">
        <f>(-Inputs!G108)*Operations!B46+(-Inputs!G108)*D23+(-Inputs!G108)*D24</f>
        <v>0</v>
      </c>
      <c r="E25" s="159">
        <f>(-Inputs!H108)*Operations!C46+(-Inputs!H108)*E23+(-Inputs!H108)*E24</f>
        <v>0</v>
      </c>
      <c r="F25" s="159">
        <f>(-Inputs!I108)*Operations!D46+(-Inputs!I108)*F23+(-Inputs!I108)*F24</f>
        <v>0</v>
      </c>
      <c r="G25" s="159">
        <f>(-Inputs!J108)*Operations!E46+(-Inputs!J108)*G23+(-Inputs!J108)*G24</f>
        <v>0</v>
      </c>
      <c r="H25" s="69">
        <f t="shared" si="1"/>
        <v>0</v>
      </c>
      <c r="I25" s="159">
        <f>(-Inputs!L108)*Operations!G46+(-Inputs!L108)*I23+(-Inputs!L108)*I24</f>
        <v>0</v>
      </c>
      <c r="J25" s="159">
        <f>(-Inputs!M108)*Operations!H46+(-Inputs!M108)*J23+(-Inputs!M108)*J24</f>
        <v>0</v>
      </c>
      <c r="K25" s="159">
        <f>(-Inputs!N108)*Operations!I46+(-Inputs!N108)*K23+(-Inputs!N108)*K24</f>
        <v>0</v>
      </c>
      <c r="L25" s="159">
        <f>(-Inputs!O108)*Operations!J46+(-Inputs!O108)*L23+(-Inputs!O108)*L24</f>
        <v>0</v>
      </c>
      <c r="M25" s="69">
        <f t="shared" si="2"/>
        <v>0</v>
      </c>
    </row>
    <row r="26" spans="1:13" ht="12.75" hidden="1" customHeight="1" outlineLevel="1" x14ac:dyDescent="0.2">
      <c r="A26" s="114" t="str">
        <f>"      "&amp;Labels!C134</f>
        <v xml:space="preserve">      Total</v>
      </c>
      <c r="B26" s="113">
        <f>SUM(B18:B25)</f>
        <v>0</v>
      </c>
      <c r="C26" s="69">
        <f>SUM(B18:B25)</f>
        <v>0</v>
      </c>
      <c r="D26" s="113">
        <f>SUM(D18:D25)</f>
        <v>0</v>
      </c>
      <c r="E26" s="113">
        <f>SUM(E18:E25)</f>
        <v>0</v>
      </c>
      <c r="F26" s="113">
        <f>SUM(F18:F25)</f>
        <v>0</v>
      </c>
      <c r="G26" s="113">
        <f>SUM(G18:G25)</f>
        <v>0</v>
      </c>
      <c r="H26" s="69">
        <f t="shared" si="1"/>
        <v>0</v>
      </c>
      <c r="I26" s="113">
        <f>SUM(I18:I25)</f>
        <v>0</v>
      </c>
      <c r="J26" s="113">
        <f>SUM(J18:J25)</f>
        <v>0</v>
      </c>
      <c r="K26" s="113">
        <f>SUM(K18:K25)</f>
        <v>0</v>
      </c>
      <c r="L26" s="113">
        <f>SUM(L18:L25)</f>
        <v>0</v>
      </c>
      <c r="M26" s="69">
        <f t="shared" si="2"/>
        <v>0</v>
      </c>
    </row>
    <row r="27" spans="1:13" ht="12.75" hidden="1" customHeight="1" outlineLevel="1" x14ac:dyDescent="0.2">
      <c r="A27" s="114" t="str">
        <f>"   "&amp;Labels!B183</f>
        <v xml:space="preserve">   Canoes</v>
      </c>
      <c r="B27" s="113"/>
      <c r="C27" s="69"/>
      <c r="D27" s="113"/>
      <c r="E27" s="113"/>
      <c r="F27" s="113"/>
      <c r="G27" s="113"/>
      <c r="H27" s="69"/>
      <c r="I27" s="113"/>
      <c r="J27" s="113"/>
      <c r="K27" s="113"/>
      <c r="L27" s="113"/>
      <c r="M27" s="69"/>
    </row>
    <row r="28" spans="1:13" ht="12.75" hidden="1" customHeight="1" outlineLevel="1" x14ac:dyDescent="0.2">
      <c r="A28" s="144" t="str">
        <f>"      "&amp;Labels!B135</f>
        <v xml:space="preserve">      EBITDA</v>
      </c>
      <c r="B28" s="159">
        <f>0</f>
        <v>0</v>
      </c>
      <c r="C28" s="69">
        <f t="shared" ref="C28:C35" si="3">B28</f>
        <v>0</v>
      </c>
      <c r="D28" s="159">
        <f>Operations!B47</f>
        <v>0</v>
      </c>
      <c r="E28" s="159">
        <f>Operations!C47</f>
        <v>0</v>
      </c>
      <c r="F28" s="159">
        <f>Operations!D47</f>
        <v>0</v>
      </c>
      <c r="G28" s="159">
        <f>Operations!E47</f>
        <v>0</v>
      </c>
      <c r="H28" s="69">
        <f t="shared" ref="H28:H45" si="4">SUM(D28:G28)</f>
        <v>0</v>
      </c>
      <c r="I28" s="159">
        <f>Operations!G47</f>
        <v>0</v>
      </c>
      <c r="J28" s="159">
        <f>Operations!H47</f>
        <v>0</v>
      </c>
      <c r="K28" s="159">
        <f>Operations!I47</f>
        <v>0</v>
      </c>
      <c r="L28" s="159">
        <f>Operations!J47</f>
        <v>0</v>
      </c>
      <c r="M28" s="69">
        <f t="shared" ref="M28:M45" si="5">SUM(I28:L28)</f>
        <v>0</v>
      </c>
    </row>
    <row r="29" spans="1:13" ht="12.75" hidden="1" customHeight="1" outlineLevel="1" x14ac:dyDescent="0.2">
      <c r="A29" s="144" t="str">
        <f>"      "&amp;Labels!B136</f>
        <v xml:space="preserve">      Fixed Invest</v>
      </c>
      <c r="B29" s="159">
        <f>B59</f>
        <v>0</v>
      </c>
      <c r="C29" s="69">
        <f t="shared" si="3"/>
        <v>0</v>
      </c>
      <c r="D29" s="159">
        <f>D59</f>
        <v>0</v>
      </c>
      <c r="E29" s="159">
        <f>E59</f>
        <v>0</v>
      </c>
      <c r="F29" s="159">
        <f>F59</f>
        <v>0</v>
      </c>
      <c r="G29" s="159">
        <f>G59</f>
        <v>0</v>
      </c>
      <c r="H29" s="69">
        <f t="shared" si="4"/>
        <v>0</v>
      </c>
      <c r="I29" s="159">
        <f>I59</f>
        <v>0</v>
      </c>
      <c r="J29" s="159">
        <f>J59</f>
        <v>0</v>
      </c>
      <c r="K29" s="159">
        <f>K59</f>
        <v>0</v>
      </c>
      <c r="L29" s="159">
        <f>L59</f>
        <v>0</v>
      </c>
      <c r="M29" s="69">
        <f t="shared" si="5"/>
        <v>0</v>
      </c>
    </row>
    <row r="30" spans="1:13" ht="12.75" hidden="1" customHeight="1" outlineLevel="1" x14ac:dyDescent="0.2">
      <c r="A30" s="144" t="str">
        <f>"      "&amp;Labels!B137</f>
        <v xml:space="preserve">      Inv Tax Credit</v>
      </c>
      <c r="B30" s="159">
        <f>'(Tables)'!B239</f>
        <v>0</v>
      </c>
      <c r="C30" s="69">
        <f t="shared" si="3"/>
        <v>0</v>
      </c>
      <c r="D30" s="159">
        <f>'(Tables)'!D239</f>
        <v>0</v>
      </c>
      <c r="E30" s="159">
        <f>'(Tables)'!E239</f>
        <v>0</v>
      </c>
      <c r="F30" s="159">
        <f>'(Tables)'!F239</f>
        <v>0</v>
      </c>
      <c r="G30" s="159">
        <f>'(Tables)'!G239</f>
        <v>0</v>
      </c>
      <c r="H30" s="69">
        <f t="shared" si="4"/>
        <v>0</v>
      </c>
      <c r="I30" s="159">
        <f>'(Tables)'!I239</f>
        <v>0</v>
      </c>
      <c r="J30" s="159">
        <f>'(Tables)'!J239</f>
        <v>0</v>
      </c>
      <c r="K30" s="159">
        <f>'(Tables)'!K239</f>
        <v>0</v>
      </c>
      <c r="L30" s="159">
        <f>'(Tables)'!L239</f>
        <v>0</v>
      </c>
      <c r="M30" s="69">
        <f t="shared" si="5"/>
        <v>0</v>
      </c>
    </row>
    <row r="31" spans="1:13" ht="12.75" hidden="1" customHeight="1" outlineLevel="1" x14ac:dyDescent="0.2">
      <c r="A31" s="144" t="str">
        <f>"      "&amp;Labels!B138</f>
        <v xml:space="preserve">      Working Cap</v>
      </c>
      <c r="B31" s="159">
        <f>'Equity Fin'!B106</f>
        <v>0</v>
      </c>
      <c r="C31" s="69">
        <f t="shared" si="3"/>
        <v>0</v>
      </c>
      <c r="D31" s="159">
        <f>'Equity Fin'!D106</f>
        <v>0</v>
      </c>
      <c r="E31" s="159">
        <f>'Equity Fin'!E106</f>
        <v>0</v>
      </c>
      <c r="F31" s="159">
        <f>'Equity Fin'!F106</f>
        <v>0</v>
      </c>
      <c r="G31" s="159">
        <f>'Equity Fin'!G106</f>
        <v>0</v>
      </c>
      <c r="H31" s="69">
        <f t="shared" si="4"/>
        <v>0</v>
      </c>
      <c r="I31" s="159">
        <f>'Equity Fin'!I106</f>
        <v>0</v>
      </c>
      <c r="J31" s="159">
        <f>'Equity Fin'!J106</f>
        <v>0</v>
      </c>
      <c r="K31" s="159">
        <f>'Equity Fin'!K106</f>
        <v>0</v>
      </c>
      <c r="L31" s="159">
        <f>'Equity Fin'!L106</f>
        <v>0</v>
      </c>
      <c r="M31" s="69">
        <f t="shared" si="5"/>
        <v>0</v>
      </c>
    </row>
    <row r="32" spans="1:13" ht="12.75" hidden="1" customHeight="1" outlineLevel="1" x14ac:dyDescent="0.2">
      <c r="A32" s="144" t="str">
        <f>"      "&amp;Labels!B139</f>
        <v xml:space="preserve">      Debt Principal</v>
      </c>
      <c r="B32" s="159">
        <f>B314</f>
        <v>0</v>
      </c>
      <c r="C32" s="69">
        <f t="shared" si="3"/>
        <v>0</v>
      </c>
      <c r="D32" s="159">
        <f>D314</f>
        <v>0</v>
      </c>
      <c r="E32" s="159">
        <f>E314</f>
        <v>0</v>
      </c>
      <c r="F32" s="159">
        <f>F314</f>
        <v>0</v>
      </c>
      <c r="G32" s="159">
        <f>G314</f>
        <v>0</v>
      </c>
      <c r="H32" s="69">
        <f t="shared" si="4"/>
        <v>0</v>
      </c>
      <c r="I32" s="159">
        <f>I314</f>
        <v>0</v>
      </c>
      <c r="J32" s="159">
        <f>J314</f>
        <v>0</v>
      </c>
      <c r="K32" s="159">
        <f>K314</f>
        <v>0</v>
      </c>
      <c r="L32" s="159">
        <f>L314</f>
        <v>0</v>
      </c>
      <c r="M32" s="69">
        <f t="shared" si="5"/>
        <v>0</v>
      </c>
    </row>
    <row r="33" spans="1:13" ht="12.75" hidden="1" customHeight="1" outlineLevel="1" x14ac:dyDescent="0.2">
      <c r="A33" s="144" t="str">
        <f>"      "&amp;Labels!B140</f>
        <v xml:space="preserve">      Interest Pay</v>
      </c>
      <c r="B33" s="159">
        <f>(-B328)</f>
        <v>0</v>
      </c>
      <c r="C33" s="69">
        <f t="shared" si="3"/>
        <v>0</v>
      </c>
      <c r="D33" s="159">
        <f>(-D328)</f>
        <v>0</v>
      </c>
      <c r="E33" s="159">
        <f>(-E328)</f>
        <v>0</v>
      </c>
      <c r="F33" s="159">
        <f>(-F328)</f>
        <v>0</v>
      </c>
      <c r="G33" s="159">
        <f>(-G328)</f>
        <v>0</v>
      </c>
      <c r="H33" s="69">
        <f t="shared" si="4"/>
        <v>0</v>
      </c>
      <c r="I33" s="159">
        <f>(-I328)</f>
        <v>0</v>
      </c>
      <c r="J33" s="159">
        <f>(-J328)</f>
        <v>0</v>
      </c>
      <c r="K33" s="159">
        <f>(-K328)</f>
        <v>0</v>
      </c>
      <c r="L33" s="159">
        <f>(-L328)</f>
        <v>0</v>
      </c>
      <c r="M33" s="69">
        <f t="shared" si="5"/>
        <v>0</v>
      </c>
    </row>
    <row r="34" spans="1:13" ht="12.75" hidden="1" customHeight="1" outlineLevel="1" x14ac:dyDescent="0.2">
      <c r="A34" s="144" t="str">
        <f>"      "&amp;Labels!B141</f>
        <v xml:space="preserve">      Lease Pay</v>
      </c>
      <c r="B34" s="159">
        <f>(-B345)</f>
        <v>0</v>
      </c>
      <c r="C34" s="69">
        <f t="shared" si="3"/>
        <v>0</v>
      </c>
      <c r="D34" s="159">
        <f>(-D345)</f>
        <v>0</v>
      </c>
      <c r="E34" s="159">
        <f>(-E345)</f>
        <v>0</v>
      </c>
      <c r="F34" s="159">
        <f>(-F345)</f>
        <v>0</v>
      </c>
      <c r="G34" s="159">
        <f>(-G345)</f>
        <v>0</v>
      </c>
      <c r="H34" s="69">
        <f t="shared" si="4"/>
        <v>0</v>
      </c>
      <c r="I34" s="159">
        <f>(-I345)</f>
        <v>0</v>
      </c>
      <c r="J34" s="159">
        <f>(-J345)</f>
        <v>0</v>
      </c>
      <c r="K34" s="159">
        <f>(-K345)</f>
        <v>0</v>
      </c>
      <c r="L34" s="159">
        <f>(-L345)</f>
        <v>0</v>
      </c>
      <c r="M34" s="69">
        <f t="shared" si="5"/>
        <v>0</v>
      </c>
    </row>
    <row r="35" spans="1:13" ht="12.75" hidden="1" customHeight="1" outlineLevel="1" x14ac:dyDescent="0.2">
      <c r="A35" s="144" t="str">
        <f>"      "&amp;Labels!B142</f>
        <v xml:space="preserve">      Income Tax</v>
      </c>
      <c r="B35" s="159">
        <f>0</f>
        <v>0</v>
      </c>
      <c r="C35" s="69">
        <f t="shared" si="3"/>
        <v>0</v>
      </c>
      <c r="D35" s="159">
        <f>(-Inputs!G108)*Operations!B47+(-Inputs!G108)*D33+(-Inputs!G108)*D34</f>
        <v>0</v>
      </c>
      <c r="E35" s="159">
        <f>(-Inputs!H108)*Operations!C47+(-Inputs!H108)*E33+(-Inputs!H108)*E34</f>
        <v>0</v>
      </c>
      <c r="F35" s="159">
        <f>(-Inputs!I108)*Operations!D47+(-Inputs!I108)*F33+(-Inputs!I108)*F34</f>
        <v>0</v>
      </c>
      <c r="G35" s="159">
        <f>(-Inputs!J108)*Operations!E47+(-Inputs!J108)*G33+(-Inputs!J108)*G34</f>
        <v>0</v>
      </c>
      <c r="H35" s="69">
        <f t="shared" si="4"/>
        <v>0</v>
      </c>
      <c r="I35" s="159">
        <f>(-Inputs!L108)*Operations!G47+(-Inputs!L108)*I33+(-Inputs!L108)*I34</f>
        <v>0</v>
      </c>
      <c r="J35" s="159">
        <f>(-Inputs!M108)*Operations!H47+(-Inputs!M108)*J33+(-Inputs!M108)*J34</f>
        <v>0</v>
      </c>
      <c r="K35" s="159">
        <f>(-Inputs!N108)*Operations!I47+(-Inputs!N108)*K33+(-Inputs!N108)*K34</f>
        <v>0</v>
      </c>
      <c r="L35" s="159">
        <f>(-Inputs!O108)*Operations!J47+(-Inputs!O108)*L33+(-Inputs!O108)*L34</f>
        <v>0</v>
      </c>
      <c r="M35" s="69">
        <f t="shared" si="5"/>
        <v>0</v>
      </c>
    </row>
    <row r="36" spans="1:13" ht="12.75" hidden="1" customHeight="1" outlineLevel="1" x14ac:dyDescent="0.2">
      <c r="A36" s="114" t="str">
        <f>"      "&amp;Labels!C134</f>
        <v xml:space="preserve">      Total</v>
      </c>
      <c r="B36" s="113">
        <f>SUM(B28:B35)</f>
        <v>0</v>
      </c>
      <c r="C36" s="69">
        <f>SUM(B28:B35)</f>
        <v>0</v>
      </c>
      <c r="D36" s="113">
        <f>SUM(D28:D35)</f>
        <v>0</v>
      </c>
      <c r="E36" s="113">
        <f>SUM(E28:E35)</f>
        <v>0</v>
      </c>
      <c r="F36" s="113">
        <f>SUM(F28:F35)</f>
        <v>0</v>
      </c>
      <c r="G36" s="113">
        <f>SUM(G28:G35)</f>
        <v>0</v>
      </c>
      <c r="H36" s="69">
        <f t="shared" si="4"/>
        <v>0</v>
      </c>
      <c r="I36" s="113">
        <f>SUM(I28:I35)</f>
        <v>0</v>
      </c>
      <c r="J36" s="113">
        <f>SUM(J28:J35)</f>
        <v>0</v>
      </c>
      <c r="K36" s="113">
        <f>SUM(K28:K35)</f>
        <v>0</v>
      </c>
      <c r="L36" s="113">
        <f>SUM(L28:L35)</f>
        <v>0</v>
      </c>
      <c r="M36" s="69">
        <f t="shared" si="5"/>
        <v>0</v>
      </c>
    </row>
    <row r="37" spans="1:13" ht="12.75" hidden="1" customHeight="1" outlineLevel="1" x14ac:dyDescent="0.2">
      <c r="A37" s="117" t="str">
        <f>"   "&amp;Labels!C181</f>
        <v xml:space="preserve">   Total</v>
      </c>
      <c r="B37" s="120">
        <f>SUM(B26,B36)</f>
        <v>0</v>
      </c>
      <c r="C37" s="69">
        <f>SUM(B26,B36)</f>
        <v>0</v>
      </c>
      <c r="D37" s="120">
        <f>SUM(D26,D36)</f>
        <v>0</v>
      </c>
      <c r="E37" s="120">
        <f>SUM(E26,E36)</f>
        <v>0</v>
      </c>
      <c r="F37" s="120">
        <f>SUM(F26,F36)</f>
        <v>0</v>
      </c>
      <c r="G37" s="120">
        <f>SUM(G26,G36)</f>
        <v>0</v>
      </c>
      <c r="H37" s="69">
        <f t="shared" si="4"/>
        <v>0</v>
      </c>
      <c r="I37" s="120">
        <f>SUM(I26,I36)</f>
        <v>0</v>
      </c>
      <c r="J37" s="120">
        <f>SUM(J26,J36)</f>
        <v>0</v>
      </c>
      <c r="K37" s="120">
        <f>SUM(K26,K36)</f>
        <v>0</v>
      </c>
      <c r="L37" s="120">
        <f>SUM(L26,L36)</f>
        <v>0</v>
      </c>
      <c r="M37" s="69">
        <f t="shared" si="5"/>
        <v>0</v>
      </c>
    </row>
    <row r="38" spans="1:13" ht="12.75" hidden="1" customHeight="1" outlineLevel="1" x14ac:dyDescent="0.2">
      <c r="A38" s="144" t="str">
        <f>"      "&amp;Labels!B135</f>
        <v xml:space="preserve">      EBITDA</v>
      </c>
      <c r="B38" s="159">
        <f t="shared" ref="B38:B46" si="6">SUM(B18,B28)</f>
        <v>0</v>
      </c>
      <c r="C38" s="69">
        <f t="shared" ref="C38:C46" si="7">SUM(B18,B28)</f>
        <v>0</v>
      </c>
      <c r="D38" s="159">
        <f t="shared" ref="D38:G46" si="8">SUM(D18,D28)</f>
        <v>0</v>
      </c>
      <c r="E38" s="159">
        <f t="shared" si="8"/>
        <v>0</v>
      </c>
      <c r="F38" s="159">
        <f t="shared" si="8"/>
        <v>0</v>
      </c>
      <c r="G38" s="159">
        <f t="shared" si="8"/>
        <v>0</v>
      </c>
      <c r="H38" s="69">
        <f t="shared" si="4"/>
        <v>0</v>
      </c>
      <c r="I38" s="159">
        <f t="shared" ref="I38:L46" si="9">SUM(I18,I28)</f>
        <v>0</v>
      </c>
      <c r="J38" s="159">
        <f t="shared" si="9"/>
        <v>0</v>
      </c>
      <c r="K38" s="159">
        <f t="shared" si="9"/>
        <v>0</v>
      </c>
      <c r="L38" s="159">
        <f t="shared" si="9"/>
        <v>0</v>
      </c>
      <c r="M38" s="69">
        <f t="shared" si="5"/>
        <v>0</v>
      </c>
    </row>
    <row r="39" spans="1:13" ht="12.75" hidden="1" customHeight="1" outlineLevel="1" x14ac:dyDescent="0.2">
      <c r="A39" s="144" t="str">
        <f>"      "&amp;Labels!B136</f>
        <v xml:space="preserve">      Fixed Invest</v>
      </c>
      <c r="B39" s="159">
        <f t="shared" si="6"/>
        <v>0</v>
      </c>
      <c r="C39" s="69">
        <f t="shared" si="7"/>
        <v>0</v>
      </c>
      <c r="D39" s="159">
        <f t="shared" si="8"/>
        <v>0</v>
      </c>
      <c r="E39" s="159">
        <f t="shared" si="8"/>
        <v>0</v>
      </c>
      <c r="F39" s="159">
        <f t="shared" si="8"/>
        <v>0</v>
      </c>
      <c r="G39" s="159">
        <f t="shared" si="8"/>
        <v>0</v>
      </c>
      <c r="H39" s="69">
        <f t="shared" si="4"/>
        <v>0</v>
      </c>
      <c r="I39" s="159">
        <f t="shared" si="9"/>
        <v>0</v>
      </c>
      <c r="J39" s="159">
        <f t="shared" si="9"/>
        <v>0</v>
      </c>
      <c r="K39" s="159">
        <f t="shared" si="9"/>
        <v>0</v>
      </c>
      <c r="L39" s="159">
        <f t="shared" si="9"/>
        <v>0</v>
      </c>
      <c r="M39" s="69">
        <f t="shared" si="5"/>
        <v>0</v>
      </c>
    </row>
    <row r="40" spans="1:13" ht="12.75" hidden="1" customHeight="1" outlineLevel="1" x14ac:dyDescent="0.2">
      <c r="A40" s="144" t="str">
        <f>"      "&amp;Labels!B137</f>
        <v xml:space="preserve">      Inv Tax Credit</v>
      </c>
      <c r="B40" s="159">
        <f t="shared" si="6"/>
        <v>0</v>
      </c>
      <c r="C40" s="69">
        <f t="shared" si="7"/>
        <v>0</v>
      </c>
      <c r="D40" s="159">
        <f t="shared" si="8"/>
        <v>0</v>
      </c>
      <c r="E40" s="159">
        <f t="shared" si="8"/>
        <v>0</v>
      </c>
      <c r="F40" s="159">
        <f t="shared" si="8"/>
        <v>0</v>
      </c>
      <c r="G40" s="159">
        <f t="shared" si="8"/>
        <v>0</v>
      </c>
      <c r="H40" s="69">
        <f t="shared" si="4"/>
        <v>0</v>
      </c>
      <c r="I40" s="159">
        <f t="shared" si="9"/>
        <v>0</v>
      </c>
      <c r="J40" s="159">
        <f t="shared" si="9"/>
        <v>0</v>
      </c>
      <c r="K40" s="159">
        <f t="shared" si="9"/>
        <v>0</v>
      </c>
      <c r="L40" s="159">
        <f t="shared" si="9"/>
        <v>0</v>
      </c>
      <c r="M40" s="69">
        <f t="shared" si="5"/>
        <v>0</v>
      </c>
    </row>
    <row r="41" spans="1:13" ht="12.75" hidden="1" customHeight="1" outlineLevel="1" x14ac:dyDescent="0.2">
      <c r="A41" s="144" t="str">
        <f>"      "&amp;Labels!B138</f>
        <v xml:space="preserve">      Working Cap</v>
      </c>
      <c r="B41" s="159">
        <f t="shared" si="6"/>
        <v>0</v>
      </c>
      <c r="C41" s="69">
        <f t="shared" si="7"/>
        <v>0</v>
      </c>
      <c r="D41" s="159">
        <f t="shared" si="8"/>
        <v>0</v>
      </c>
      <c r="E41" s="159">
        <f t="shared" si="8"/>
        <v>0</v>
      </c>
      <c r="F41" s="159">
        <f t="shared" si="8"/>
        <v>0</v>
      </c>
      <c r="G41" s="159">
        <f t="shared" si="8"/>
        <v>0</v>
      </c>
      <c r="H41" s="69">
        <f t="shared" si="4"/>
        <v>0</v>
      </c>
      <c r="I41" s="159">
        <f t="shared" si="9"/>
        <v>0</v>
      </c>
      <c r="J41" s="159">
        <f t="shared" si="9"/>
        <v>0</v>
      </c>
      <c r="K41" s="159">
        <f t="shared" si="9"/>
        <v>0</v>
      </c>
      <c r="L41" s="159">
        <f t="shared" si="9"/>
        <v>0</v>
      </c>
      <c r="M41" s="69">
        <f t="shared" si="5"/>
        <v>0</v>
      </c>
    </row>
    <row r="42" spans="1:13" ht="12.75" hidden="1" customHeight="1" outlineLevel="1" x14ac:dyDescent="0.2">
      <c r="A42" s="144" t="str">
        <f>"      "&amp;Labels!B139</f>
        <v xml:space="preserve">      Debt Principal</v>
      </c>
      <c r="B42" s="159">
        <f t="shared" si="6"/>
        <v>0</v>
      </c>
      <c r="C42" s="69">
        <f t="shared" si="7"/>
        <v>0</v>
      </c>
      <c r="D42" s="159">
        <f t="shared" si="8"/>
        <v>0</v>
      </c>
      <c r="E42" s="159">
        <f t="shared" si="8"/>
        <v>0</v>
      </c>
      <c r="F42" s="159">
        <f t="shared" si="8"/>
        <v>0</v>
      </c>
      <c r="G42" s="159">
        <f t="shared" si="8"/>
        <v>0</v>
      </c>
      <c r="H42" s="69">
        <f t="shared" si="4"/>
        <v>0</v>
      </c>
      <c r="I42" s="159">
        <f t="shared" si="9"/>
        <v>0</v>
      </c>
      <c r="J42" s="159">
        <f t="shared" si="9"/>
        <v>0</v>
      </c>
      <c r="K42" s="159">
        <f t="shared" si="9"/>
        <v>0</v>
      </c>
      <c r="L42" s="159">
        <f t="shared" si="9"/>
        <v>0</v>
      </c>
      <c r="M42" s="69">
        <f t="shared" si="5"/>
        <v>0</v>
      </c>
    </row>
    <row r="43" spans="1:13" ht="12.75" hidden="1" customHeight="1" outlineLevel="1" x14ac:dyDescent="0.2">
      <c r="A43" s="144" t="str">
        <f>"      "&amp;Labels!B140</f>
        <v xml:space="preserve">      Interest Pay</v>
      </c>
      <c r="B43" s="159">
        <f t="shared" si="6"/>
        <v>0</v>
      </c>
      <c r="C43" s="69">
        <f t="shared" si="7"/>
        <v>0</v>
      </c>
      <c r="D43" s="159">
        <f t="shared" si="8"/>
        <v>0</v>
      </c>
      <c r="E43" s="159">
        <f t="shared" si="8"/>
        <v>0</v>
      </c>
      <c r="F43" s="159">
        <f t="shared" si="8"/>
        <v>0</v>
      </c>
      <c r="G43" s="159">
        <f t="shared" si="8"/>
        <v>0</v>
      </c>
      <c r="H43" s="69">
        <f t="shared" si="4"/>
        <v>0</v>
      </c>
      <c r="I43" s="159">
        <f t="shared" si="9"/>
        <v>0</v>
      </c>
      <c r="J43" s="159">
        <f t="shared" si="9"/>
        <v>0</v>
      </c>
      <c r="K43" s="159">
        <f t="shared" si="9"/>
        <v>0</v>
      </c>
      <c r="L43" s="159">
        <f t="shared" si="9"/>
        <v>0</v>
      </c>
      <c r="M43" s="69">
        <f t="shared" si="5"/>
        <v>0</v>
      </c>
    </row>
    <row r="44" spans="1:13" ht="12.75" hidden="1" customHeight="1" outlineLevel="1" x14ac:dyDescent="0.2">
      <c r="A44" s="144" t="str">
        <f>"      "&amp;Labels!B141</f>
        <v xml:space="preserve">      Lease Pay</v>
      </c>
      <c r="B44" s="159">
        <f t="shared" si="6"/>
        <v>0</v>
      </c>
      <c r="C44" s="69">
        <f t="shared" si="7"/>
        <v>0</v>
      </c>
      <c r="D44" s="159">
        <f t="shared" si="8"/>
        <v>0</v>
      </c>
      <c r="E44" s="159">
        <f t="shared" si="8"/>
        <v>0</v>
      </c>
      <c r="F44" s="159">
        <f t="shared" si="8"/>
        <v>0</v>
      </c>
      <c r="G44" s="159">
        <f t="shared" si="8"/>
        <v>0</v>
      </c>
      <c r="H44" s="69">
        <f t="shared" si="4"/>
        <v>0</v>
      </c>
      <c r="I44" s="159">
        <f t="shared" si="9"/>
        <v>0</v>
      </c>
      <c r="J44" s="159">
        <f t="shared" si="9"/>
        <v>0</v>
      </c>
      <c r="K44" s="159">
        <f t="shared" si="9"/>
        <v>0</v>
      </c>
      <c r="L44" s="159">
        <f t="shared" si="9"/>
        <v>0</v>
      </c>
      <c r="M44" s="69">
        <f t="shared" si="5"/>
        <v>0</v>
      </c>
    </row>
    <row r="45" spans="1:13" ht="12.75" hidden="1" customHeight="1" outlineLevel="1" x14ac:dyDescent="0.2">
      <c r="A45" s="144" t="str">
        <f>"      "&amp;Labels!B142</f>
        <v xml:space="preserve">      Income Tax</v>
      </c>
      <c r="B45" s="159">
        <f t="shared" si="6"/>
        <v>0</v>
      </c>
      <c r="C45" s="69">
        <f t="shared" si="7"/>
        <v>0</v>
      </c>
      <c r="D45" s="159">
        <f t="shared" si="8"/>
        <v>0</v>
      </c>
      <c r="E45" s="159">
        <f t="shared" si="8"/>
        <v>0</v>
      </c>
      <c r="F45" s="159">
        <f t="shared" si="8"/>
        <v>0</v>
      </c>
      <c r="G45" s="159">
        <f t="shared" si="8"/>
        <v>0</v>
      </c>
      <c r="H45" s="69">
        <f t="shared" si="4"/>
        <v>0</v>
      </c>
      <c r="I45" s="159">
        <f t="shared" si="9"/>
        <v>0</v>
      </c>
      <c r="J45" s="159">
        <f t="shared" si="9"/>
        <v>0</v>
      </c>
      <c r="K45" s="159">
        <f t="shared" si="9"/>
        <v>0</v>
      </c>
      <c r="L45" s="159">
        <f t="shared" si="9"/>
        <v>0</v>
      </c>
      <c r="M45" s="69">
        <f t="shared" si="5"/>
        <v>0</v>
      </c>
    </row>
    <row r="46" spans="1:13" ht="12.75" hidden="1" customHeight="1" outlineLevel="1" x14ac:dyDescent="0.2">
      <c r="A46" s="145" t="str">
        <f>"      "&amp;Labels!C134</f>
        <v xml:space="preserve">      Total</v>
      </c>
      <c r="B46" s="123">
        <f t="shared" si="6"/>
        <v>0</v>
      </c>
      <c r="C46" s="70">
        <f t="shared" si="7"/>
        <v>0</v>
      </c>
      <c r="D46" s="123">
        <f t="shared" si="8"/>
        <v>0</v>
      </c>
      <c r="E46" s="123">
        <f t="shared" si="8"/>
        <v>0</v>
      </c>
      <c r="F46" s="123">
        <f t="shared" si="8"/>
        <v>0</v>
      </c>
      <c r="G46" s="123">
        <f t="shared" si="8"/>
        <v>0</v>
      </c>
      <c r="H46" s="70">
        <f>SUM(D37:G37)</f>
        <v>0</v>
      </c>
      <c r="I46" s="123">
        <f t="shared" si="9"/>
        <v>0</v>
      </c>
      <c r="J46" s="123">
        <f t="shared" si="9"/>
        <v>0</v>
      </c>
      <c r="K46" s="123">
        <f t="shared" si="9"/>
        <v>0</v>
      </c>
      <c r="L46" s="123">
        <f t="shared" si="9"/>
        <v>0</v>
      </c>
      <c r="M46" s="70">
        <f>SUM(I37:L37)</f>
        <v>0</v>
      </c>
    </row>
    <row r="47" spans="1:13" ht="12.75" hidden="1" customHeight="1" outlineLevel="1" collapsed="1" x14ac:dyDescent="0.2"/>
    <row r="48" spans="1:13" ht="12.75" customHeight="1" collapsed="1" x14ac:dyDescent="0.2">
      <c r="A48" s="272" t="str">
        <f>"Cash Flow - Fixed Investment"</f>
        <v>Cash Flow - Fixed Investment</v>
      </c>
      <c r="B48" s="272"/>
    </row>
    <row r="49" spans="1:13" ht="12.75" hidden="1" customHeight="1" outlineLevel="1" x14ac:dyDescent="0.2">
      <c r="A49" s="1" t="str">
        <f>" "</f>
        <v xml:space="preserve"> </v>
      </c>
    </row>
    <row r="50" spans="1:13" ht="12.75" hidden="1" customHeight="1" outlineLevel="1" x14ac:dyDescent="0.2">
      <c r="B50" s="17" t="str">
        <f>'(FnCalls 1)'!G6</f>
        <v>Q4 2010</v>
      </c>
      <c r="C50" s="62" t="str">
        <f>'(FnCalls 1)'!H4</f>
        <v>2010</v>
      </c>
      <c r="D50" s="18" t="str">
        <f>'(FnCalls 1)'!G7</f>
        <v>Q1 2011</v>
      </c>
      <c r="E50" s="18" t="str">
        <f>'(FnCalls 1)'!G8</f>
        <v>Q2 2011</v>
      </c>
      <c r="F50" s="18" t="str">
        <f>'(FnCalls 1)'!G9</f>
        <v>Q3 2011</v>
      </c>
      <c r="G50" s="18" t="str">
        <f>'(FnCalls 1)'!G10</f>
        <v>Q4 2011</v>
      </c>
      <c r="H50" s="62" t="str">
        <f>'(FnCalls 1)'!H7</f>
        <v>2011</v>
      </c>
      <c r="I50" s="18" t="str">
        <f>'(FnCalls 1)'!G11</f>
        <v>Q1 2012</v>
      </c>
      <c r="J50" s="18" t="str">
        <f>'(FnCalls 1)'!G12</f>
        <v>Q2 2012</v>
      </c>
      <c r="K50" s="18" t="str">
        <f>'(FnCalls 1)'!G13</f>
        <v>Q3 2012</v>
      </c>
      <c r="L50" s="18" t="str">
        <f>'(FnCalls 1)'!G14</f>
        <v>Q4 2012</v>
      </c>
      <c r="M50" s="62" t="str">
        <f>'(FnCalls 1)'!H11</f>
        <v>2012</v>
      </c>
    </row>
    <row r="51" spans="1:13" ht="12.75" hidden="1" customHeight="1" outlineLevel="1" x14ac:dyDescent="0.2">
      <c r="A51" s="111" t="str">
        <f>Labels!B16</f>
        <v>Cash Flow - Fixed Invest</v>
      </c>
      <c r="B51" s="110"/>
      <c r="C51" s="75"/>
      <c r="D51" s="110"/>
      <c r="E51" s="110"/>
      <c r="F51" s="110"/>
      <c r="G51" s="110"/>
      <c r="H51" s="75"/>
      <c r="I51" s="110"/>
      <c r="J51" s="110"/>
      <c r="K51" s="110"/>
      <c r="L51" s="110"/>
      <c r="M51" s="75"/>
    </row>
    <row r="52" spans="1:13" ht="12.75" hidden="1" customHeight="1" outlineLevel="1" x14ac:dyDescent="0.2">
      <c r="A52" s="114" t="str">
        <f>"   "&amp;Labels!B182</f>
        <v xml:space="preserve">   Catamarans</v>
      </c>
      <c r="B52" s="113"/>
      <c r="C52" s="69"/>
      <c r="D52" s="113"/>
      <c r="E52" s="113"/>
      <c r="F52" s="113"/>
      <c r="G52" s="113"/>
      <c r="H52" s="69"/>
      <c r="I52" s="113"/>
      <c r="J52" s="113"/>
      <c r="K52" s="113"/>
      <c r="L52" s="113"/>
      <c r="M52" s="69"/>
    </row>
    <row r="53" spans="1:13" ht="12.75" hidden="1" customHeight="1" outlineLevel="1" x14ac:dyDescent="0.2">
      <c r="A53" s="144" t="str">
        <f>"      "&amp;Labels!B170</f>
        <v xml:space="preserve">      Invest 1</v>
      </c>
      <c r="B53" s="159">
        <f>SUM(B71,B75)</f>
        <v>0</v>
      </c>
      <c r="C53" s="69">
        <f>SUM(B71,B75)</f>
        <v>0</v>
      </c>
      <c r="D53" s="159">
        <f t="shared" ref="D53:G55" si="10">SUM(D71,D75)</f>
        <v>0</v>
      </c>
      <c r="E53" s="159">
        <f t="shared" si="10"/>
        <v>0</v>
      </c>
      <c r="F53" s="159">
        <f t="shared" si="10"/>
        <v>0</v>
      </c>
      <c r="G53" s="159">
        <f t="shared" si="10"/>
        <v>0</v>
      </c>
      <c r="H53" s="69">
        <f>SUM(D53:G53)</f>
        <v>0</v>
      </c>
      <c r="I53" s="159">
        <f t="shared" ref="I53:L55" si="11">SUM(I71,I75)</f>
        <v>0</v>
      </c>
      <c r="J53" s="159">
        <f t="shared" si="11"/>
        <v>0</v>
      </c>
      <c r="K53" s="159">
        <f t="shared" si="11"/>
        <v>0</v>
      </c>
      <c r="L53" s="159">
        <f t="shared" si="11"/>
        <v>0</v>
      </c>
      <c r="M53" s="69">
        <f>SUM(I53:L53)</f>
        <v>0</v>
      </c>
    </row>
    <row r="54" spans="1:13" ht="12.75" hidden="1" customHeight="1" outlineLevel="1" x14ac:dyDescent="0.2">
      <c r="A54" s="144" t="str">
        <f>"      "&amp;Labels!B171</f>
        <v xml:space="preserve">      Invest 2</v>
      </c>
      <c r="B54" s="159">
        <f>SUM(B72,B76)</f>
        <v>0</v>
      </c>
      <c r="C54" s="69">
        <f>SUM(B72,B76)</f>
        <v>0</v>
      </c>
      <c r="D54" s="159">
        <f t="shared" si="10"/>
        <v>0</v>
      </c>
      <c r="E54" s="159">
        <f t="shared" si="10"/>
        <v>0</v>
      </c>
      <c r="F54" s="159">
        <f t="shared" si="10"/>
        <v>0</v>
      </c>
      <c r="G54" s="159">
        <f t="shared" si="10"/>
        <v>0</v>
      </c>
      <c r="H54" s="69">
        <f>SUM(D54:G54)</f>
        <v>0</v>
      </c>
      <c r="I54" s="159">
        <f t="shared" si="11"/>
        <v>0</v>
      </c>
      <c r="J54" s="159">
        <f t="shared" si="11"/>
        <v>0</v>
      </c>
      <c r="K54" s="159">
        <f t="shared" si="11"/>
        <v>0</v>
      </c>
      <c r="L54" s="159">
        <f t="shared" si="11"/>
        <v>0</v>
      </c>
      <c r="M54" s="69">
        <f>SUM(I54:L54)</f>
        <v>0</v>
      </c>
    </row>
    <row r="55" spans="1:13" ht="12.75" hidden="1" customHeight="1" outlineLevel="1" x14ac:dyDescent="0.2">
      <c r="A55" s="114" t="str">
        <f>"      "&amp;Labels!C169</f>
        <v xml:space="preserve">      Total</v>
      </c>
      <c r="B55" s="113">
        <f>SUM(B73,B77)</f>
        <v>0</v>
      </c>
      <c r="C55" s="69">
        <f>SUM(B53:B54)</f>
        <v>0</v>
      </c>
      <c r="D55" s="113">
        <f t="shared" si="10"/>
        <v>0</v>
      </c>
      <c r="E55" s="113">
        <f t="shared" si="10"/>
        <v>0</v>
      </c>
      <c r="F55" s="113">
        <f t="shared" si="10"/>
        <v>0</v>
      </c>
      <c r="G55" s="113">
        <f t="shared" si="10"/>
        <v>0</v>
      </c>
      <c r="H55" s="69">
        <f>SUM(D55:G55)</f>
        <v>0</v>
      </c>
      <c r="I55" s="113">
        <f t="shared" si="11"/>
        <v>0</v>
      </c>
      <c r="J55" s="113">
        <f t="shared" si="11"/>
        <v>0</v>
      </c>
      <c r="K55" s="113">
        <f t="shared" si="11"/>
        <v>0</v>
      </c>
      <c r="L55" s="113">
        <f t="shared" si="11"/>
        <v>0</v>
      </c>
      <c r="M55" s="69">
        <f>SUM(I55:L55)</f>
        <v>0</v>
      </c>
    </row>
    <row r="56" spans="1:13" ht="12.75" hidden="1" customHeight="1" outlineLevel="1" x14ac:dyDescent="0.2">
      <c r="A56" s="114" t="str">
        <f>"   "&amp;Labels!B183</f>
        <v xml:space="preserve">   Canoes</v>
      </c>
      <c r="B56" s="113"/>
      <c r="C56" s="69"/>
      <c r="D56" s="113"/>
      <c r="E56" s="113"/>
      <c r="F56" s="113"/>
      <c r="G56" s="113"/>
      <c r="H56" s="69"/>
      <c r="I56" s="113"/>
      <c r="J56" s="113"/>
      <c r="K56" s="113"/>
      <c r="L56" s="113"/>
      <c r="M56" s="69"/>
    </row>
    <row r="57" spans="1:13" ht="12.75" hidden="1" customHeight="1" outlineLevel="1" x14ac:dyDescent="0.2">
      <c r="A57" s="144" t="str">
        <f>"      "&amp;Labels!B170</f>
        <v xml:space="preserve">      Invest 1</v>
      </c>
      <c r="B57" s="159">
        <f>SUM(B84,B88)</f>
        <v>0</v>
      </c>
      <c r="C57" s="69">
        <f>SUM(B84,B88)</f>
        <v>0</v>
      </c>
      <c r="D57" s="159">
        <f t="shared" ref="D57:G59" si="12">SUM(D84,D88)</f>
        <v>0</v>
      </c>
      <c r="E57" s="159">
        <f t="shared" si="12"/>
        <v>0</v>
      </c>
      <c r="F57" s="159">
        <f t="shared" si="12"/>
        <v>0</v>
      </c>
      <c r="G57" s="159">
        <f t="shared" si="12"/>
        <v>0</v>
      </c>
      <c r="H57" s="69">
        <f t="shared" ref="H57:H62" si="13">SUM(D57:G57)</f>
        <v>0</v>
      </c>
      <c r="I57" s="159">
        <f t="shared" ref="I57:L59" si="14">SUM(I84,I88)</f>
        <v>0</v>
      </c>
      <c r="J57" s="159">
        <f t="shared" si="14"/>
        <v>0</v>
      </c>
      <c r="K57" s="159">
        <f t="shared" si="14"/>
        <v>0</v>
      </c>
      <c r="L57" s="159">
        <f t="shared" si="14"/>
        <v>0</v>
      </c>
      <c r="M57" s="69">
        <f t="shared" ref="M57:M62" si="15">SUM(I57:L57)</f>
        <v>0</v>
      </c>
    </row>
    <row r="58" spans="1:13" ht="12.75" hidden="1" customHeight="1" outlineLevel="1" x14ac:dyDescent="0.2">
      <c r="A58" s="144" t="str">
        <f>"      "&amp;Labels!B171</f>
        <v xml:space="preserve">      Invest 2</v>
      </c>
      <c r="B58" s="159">
        <f>SUM(B85,B89)</f>
        <v>0</v>
      </c>
      <c r="C58" s="69">
        <f>SUM(B85,B89)</f>
        <v>0</v>
      </c>
      <c r="D58" s="159">
        <f t="shared" si="12"/>
        <v>0</v>
      </c>
      <c r="E58" s="159">
        <f t="shared" si="12"/>
        <v>0</v>
      </c>
      <c r="F58" s="159">
        <f t="shared" si="12"/>
        <v>0</v>
      </c>
      <c r="G58" s="159">
        <f t="shared" si="12"/>
        <v>0</v>
      </c>
      <c r="H58" s="69">
        <f t="shared" si="13"/>
        <v>0</v>
      </c>
      <c r="I58" s="159">
        <f t="shared" si="14"/>
        <v>0</v>
      </c>
      <c r="J58" s="159">
        <f t="shared" si="14"/>
        <v>0</v>
      </c>
      <c r="K58" s="159">
        <f t="shared" si="14"/>
        <v>0</v>
      </c>
      <c r="L58" s="159">
        <f t="shared" si="14"/>
        <v>0</v>
      </c>
      <c r="M58" s="69">
        <f t="shared" si="15"/>
        <v>0</v>
      </c>
    </row>
    <row r="59" spans="1:13" ht="12.75" hidden="1" customHeight="1" outlineLevel="1" x14ac:dyDescent="0.2">
      <c r="A59" s="114" t="str">
        <f>"      "&amp;Labels!C169</f>
        <v xml:space="preserve">      Total</v>
      </c>
      <c r="B59" s="113">
        <f>SUM(B86,B90)</f>
        <v>0</v>
      </c>
      <c r="C59" s="69">
        <f>SUM(B57:B58)</f>
        <v>0</v>
      </c>
      <c r="D59" s="113">
        <f t="shared" si="12"/>
        <v>0</v>
      </c>
      <c r="E59" s="113">
        <f t="shared" si="12"/>
        <v>0</v>
      </c>
      <c r="F59" s="113">
        <f t="shared" si="12"/>
        <v>0</v>
      </c>
      <c r="G59" s="113">
        <f t="shared" si="12"/>
        <v>0</v>
      </c>
      <c r="H59" s="69">
        <f t="shared" si="13"/>
        <v>0</v>
      </c>
      <c r="I59" s="113">
        <f t="shared" si="14"/>
        <v>0</v>
      </c>
      <c r="J59" s="113">
        <f t="shared" si="14"/>
        <v>0</v>
      </c>
      <c r="K59" s="113">
        <f t="shared" si="14"/>
        <v>0</v>
      </c>
      <c r="L59" s="113">
        <f t="shared" si="14"/>
        <v>0</v>
      </c>
      <c r="M59" s="69">
        <f t="shared" si="15"/>
        <v>0</v>
      </c>
    </row>
    <row r="60" spans="1:13" ht="12.75" hidden="1" customHeight="1" outlineLevel="1" x14ac:dyDescent="0.2">
      <c r="A60" s="117" t="str">
        <f>"   "&amp;Labels!C181</f>
        <v xml:space="preserve">   Total</v>
      </c>
      <c r="B60" s="120">
        <f>SUM(B55,B59)</f>
        <v>0</v>
      </c>
      <c r="C60" s="69">
        <f>SUM(B55,B59)</f>
        <v>0</v>
      </c>
      <c r="D60" s="120">
        <f>SUM(D55,D59)</f>
        <v>0</v>
      </c>
      <c r="E60" s="120">
        <f>SUM(E55,E59)</f>
        <v>0</v>
      </c>
      <c r="F60" s="120">
        <f>SUM(F55,F59)</f>
        <v>0</v>
      </c>
      <c r="G60" s="120">
        <f>SUM(G55,G59)</f>
        <v>0</v>
      </c>
      <c r="H60" s="69">
        <f t="shared" si="13"/>
        <v>0</v>
      </c>
      <c r="I60" s="120">
        <f>SUM(I55,I59)</f>
        <v>0</v>
      </c>
      <c r="J60" s="120">
        <f>SUM(J55,J59)</f>
        <v>0</v>
      </c>
      <c r="K60" s="120">
        <f>SUM(K55,K59)</f>
        <v>0</v>
      </c>
      <c r="L60" s="120">
        <f>SUM(L55,L59)</f>
        <v>0</v>
      </c>
      <c r="M60" s="69">
        <f t="shared" si="15"/>
        <v>0</v>
      </c>
    </row>
    <row r="61" spans="1:13" ht="12.75" hidden="1" customHeight="1" outlineLevel="1" x14ac:dyDescent="0.2">
      <c r="A61" s="144" t="str">
        <f>"      "&amp;Labels!B170</f>
        <v xml:space="preserve">      Invest 1</v>
      </c>
      <c r="B61" s="159">
        <f>SUM(B53,B57)</f>
        <v>0</v>
      </c>
      <c r="C61" s="69">
        <f>SUM(B53,B57)</f>
        <v>0</v>
      </c>
      <c r="D61" s="159">
        <f t="shared" ref="D61:G63" si="16">SUM(D53,D57)</f>
        <v>0</v>
      </c>
      <c r="E61" s="159">
        <f t="shared" si="16"/>
        <v>0</v>
      </c>
      <c r="F61" s="159">
        <f t="shared" si="16"/>
        <v>0</v>
      </c>
      <c r="G61" s="159">
        <f t="shared" si="16"/>
        <v>0</v>
      </c>
      <c r="H61" s="69">
        <f t="shared" si="13"/>
        <v>0</v>
      </c>
      <c r="I61" s="159">
        <f t="shared" ref="I61:L63" si="17">SUM(I53,I57)</f>
        <v>0</v>
      </c>
      <c r="J61" s="159">
        <f t="shared" si="17"/>
        <v>0</v>
      </c>
      <c r="K61" s="159">
        <f t="shared" si="17"/>
        <v>0</v>
      </c>
      <c r="L61" s="159">
        <f t="shared" si="17"/>
        <v>0</v>
      </c>
      <c r="M61" s="69">
        <f t="shared" si="15"/>
        <v>0</v>
      </c>
    </row>
    <row r="62" spans="1:13" ht="12.75" hidden="1" customHeight="1" outlineLevel="1" x14ac:dyDescent="0.2">
      <c r="A62" s="144" t="str">
        <f>"      "&amp;Labels!B171</f>
        <v xml:space="preserve">      Invest 2</v>
      </c>
      <c r="B62" s="159">
        <f>SUM(B54,B58)</f>
        <v>0</v>
      </c>
      <c r="C62" s="69">
        <f>SUM(B54,B58)</f>
        <v>0</v>
      </c>
      <c r="D62" s="159">
        <f t="shared" si="16"/>
        <v>0</v>
      </c>
      <c r="E62" s="159">
        <f t="shared" si="16"/>
        <v>0</v>
      </c>
      <c r="F62" s="159">
        <f t="shared" si="16"/>
        <v>0</v>
      </c>
      <c r="G62" s="159">
        <f t="shared" si="16"/>
        <v>0</v>
      </c>
      <c r="H62" s="69">
        <f t="shared" si="13"/>
        <v>0</v>
      </c>
      <c r="I62" s="159">
        <f t="shared" si="17"/>
        <v>0</v>
      </c>
      <c r="J62" s="159">
        <f t="shared" si="17"/>
        <v>0</v>
      </c>
      <c r="K62" s="159">
        <f t="shared" si="17"/>
        <v>0</v>
      </c>
      <c r="L62" s="159">
        <f t="shared" si="17"/>
        <v>0</v>
      </c>
      <c r="M62" s="69">
        <f t="shared" si="15"/>
        <v>0</v>
      </c>
    </row>
    <row r="63" spans="1:13" ht="12.75" hidden="1" customHeight="1" outlineLevel="1" x14ac:dyDescent="0.2">
      <c r="A63" s="145" t="str">
        <f>"      "&amp;Labels!C169</f>
        <v xml:space="preserve">      Total</v>
      </c>
      <c r="B63" s="123">
        <f>SUM(B55,B59)</f>
        <v>0</v>
      </c>
      <c r="C63" s="70">
        <f>SUM(B55,B59)</f>
        <v>0</v>
      </c>
      <c r="D63" s="123">
        <f t="shared" si="16"/>
        <v>0</v>
      </c>
      <c r="E63" s="123">
        <f t="shared" si="16"/>
        <v>0</v>
      </c>
      <c r="F63" s="123">
        <f t="shared" si="16"/>
        <v>0</v>
      </c>
      <c r="G63" s="123">
        <f t="shared" si="16"/>
        <v>0</v>
      </c>
      <c r="H63" s="70">
        <f>SUM(D60:G60)</f>
        <v>0</v>
      </c>
      <c r="I63" s="123">
        <f t="shared" si="17"/>
        <v>0</v>
      </c>
      <c r="J63" s="123">
        <f t="shared" si="17"/>
        <v>0</v>
      </c>
      <c r="K63" s="123">
        <f t="shared" si="17"/>
        <v>0</v>
      </c>
      <c r="L63" s="123">
        <f t="shared" si="17"/>
        <v>0</v>
      </c>
      <c r="M63" s="70">
        <f>SUM(I60:L60)</f>
        <v>0</v>
      </c>
    </row>
    <row r="64" spans="1:13" ht="12.75" hidden="1" customHeight="1" outlineLevel="1" x14ac:dyDescent="0.2"/>
    <row r="65" spans="1:13" ht="12.75" hidden="1" customHeight="1" outlineLevel="1" x14ac:dyDescent="0.2">
      <c r="A65" s="272" t="str">
        <f>"CF Fixed Investment - Detail"</f>
        <v>CF Fixed Investment - Detail</v>
      </c>
      <c r="B65" s="272"/>
    </row>
    <row r="66" spans="1:13" ht="12.75" hidden="1" customHeight="1" outlineLevel="2" x14ac:dyDescent="0.2">
      <c r="A66" s="272" t="str">
        <f>" "</f>
        <v xml:space="preserve"> </v>
      </c>
      <c r="B66" s="272"/>
    </row>
    <row r="67" spans="1:13" ht="12.75" hidden="1" customHeight="1" outlineLevel="2" x14ac:dyDescent="0.2">
      <c r="B67" s="17" t="str">
        <f>'(FnCalls 1)'!G6</f>
        <v>Q4 2010</v>
      </c>
      <c r="C67" s="62" t="str">
        <f>'(FnCalls 1)'!H4</f>
        <v>2010</v>
      </c>
      <c r="D67" s="18" t="str">
        <f>'(FnCalls 1)'!G7</f>
        <v>Q1 2011</v>
      </c>
      <c r="E67" s="18" t="str">
        <f>'(FnCalls 1)'!G8</f>
        <v>Q2 2011</v>
      </c>
      <c r="F67" s="18" t="str">
        <f>'(FnCalls 1)'!G9</f>
        <v>Q3 2011</v>
      </c>
      <c r="G67" s="18" t="str">
        <f>'(FnCalls 1)'!G10</f>
        <v>Q4 2011</v>
      </c>
      <c r="H67" s="62" t="str">
        <f>'(FnCalls 1)'!H7</f>
        <v>2011</v>
      </c>
      <c r="I67" s="18" t="str">
        <f>'(FnCalls 1)'!G11</f>
        <v>Q1 2012</v>
      </c>
      <c r="J67" s="18" t="str">
        <f>'(FnCalls 1)'!G12</f>
        <v>Q2 2012</v>
      </c>
      <c r="K67" s="18" t="str">
        <f>'(FnCalls 1)'!G13</f>
        <v>Q3 2012</v>
      </c>
      <c r="L67" s="18" t="str">
        <f>'(FnCalls 1)'!G14</f>
        <v>Q4 2012</v>
      </c>
      <c r="M67" s="62" t="str">
        <f>'(FnCalls 1)'!H11</f>
        <v>2012</v>
      </c>
    </row>
    <row r="68" spans="1:13" ht="12.75" hidden="1" customHeight="1" outlineLevel="2" x14ac:dyDescent="0.2">
      <c r="A68" s="111" t="str">
        <f>Labels!B16</f>
        <v>Cash Flow - Fixed Invest</v>
      </c>
      <c r="B68" s="110"/>
      <c r="C68" s="75"/>
      <c r="D68" s="110"/>
      <c r="E68" s="110"/>
      <c r="F68" s="110"/>
      <c r="G68" s="110"/>
      <c r="H68" s="75"/>
      <c r="I68" s="110"/>
      <c r="J68" s="110"/>
      <c r="K68" s="110"/>
      <c r="L68" s="110"/>
      <c r="M68" s="75"/>
    </row>
    <row r="69" spans="1:13" ht="12.75" hidden="1" customHeight="1" outlineLevel="2" x14ac:dyDescent="0.2">
      <c r="A69" s="114" t="str">
        <f>"   "&amp;Labels!B182</f>
        <v xml:space="preserve">   Catamarans</v>
      </c>
      <c r="B69" s="113"/>
      <c r="C69" s="69"/>
      <c r="D69" s="113"/>
      <c r="E69" s="113"/>
      <c r="F69" s="113"/>
      <c r="G69" s="113"/>
      <c r="H69" s="69"/>
      <c r="I69" s="113"/>
      <c r="J69" s="113"/>
      <c r="K69" s="113"/>
      <c r="L69" s="113"/>
      <c r="M69" s="69"/>
    </row>
    <row r="70" spans="1:13" ht="12.75" hidden="1" customHeight="1" outlineLevel="2" x14ac:dyDescent="0.2">
      <c r="A70" s="144" t="str">
        <f>"      "&amp;Labels!B166</f>
        <v xml:space="preserve">      Depreciable</v>
      </c>
      <c r="B70" s="159"/>
      <c r="C70" s="69"/>
      <c r="D70" s="159"/>
      <c r="E70" s="159"/>
      <c r="F70" s="159"/>
      <c r="G70" s="159"/>
      <c r="H70" s="69"/>
      <c r="I70" s="159"/>
      <c r="J70" s="159"/>
      <c r="K70" s="159"/>
      <c r="L70" s="159"/>
      <c r="M70" s="69"/>
    </row>
    <row r="71" spans="1:13" ht="12.75" hidden="1" customHeight="1" outlineLevel="2" x14ac:dyDescent="0.2">
      <c r="A71" s="144" t="str">
        <f>"         "&amp;Labels!B170</f>
        <v xml:space="preserve">         Invest 1</v>
      </c>
      <c r="B71" s="116">
        <f>IF(AND('(FnCalls 1)'!A6-Inputs!F17&lt;=0,Inputs!F17-('(FnCalls 1)'!A7-1)&lt;=0),(-Inputs!E24)*B277,0*B277)+IF(AND(INDEX('(Ranges)'!A13:J13,,MAX(1,'Plot Support'!B41-'(Tables)'!B184))-Inputs!F17&lt;=0,Inputs!F17-INDEX('(Ranges)'!A14:J14,,MAX(1,'Plot Support'!B41-'(Tables)'!B184))&lt;=0),Inputs!F24*B277,0*B277)+IF(AND('(FnCalls 1)'!A6-Inputs!F17&lt;=0,Inputs!F17-('(FnCalls 1)'!A7-1)&lt;=0),(-Inputs!E24)*B278,0*B278)+IF(AND(INDEX('(Ranges)'!A13:J13,,MAX(1,'Plot Support'!B41-'(Tables)'!B184))-Inputs!F17&lt;=0,Inputs!F17-INDEX('(Ranges)'!A14:J14,,MAX(1,'Plot Support'!B41-'(Tables)'!B184))&lt;=0),Inputs!F24*B278,0*B278)</f>
        <v>0</v>
      </c>
      <c r="C71" s="69">
        <f>B71</f>
        <v>0</v>
      </c>
      <c r="D71" s="116">
        <f>IF(AND('(FnCalls 1)'!A7-Inputs!F17&lt;=0,Inputs!F17-('(FnCalls 1)'!A8-1)&lt;=0),(-Inputs!E24)*B277,0*B277)+IF(AND(INDEX('(Ranges)'!A13:J13,,MAX(1,'Plot Support'!B43-'(Tables)'!B184))-Inputs!F17&lt;=0,Inputs!F17-INDEX('(Ranges)'!A14:J14,,MAX(1,'Plot Support'!B43-'(Tables)'!B184))&lt;=0),Inputs!F24*B277,0*B277)+IF(AND('(FnCalls 1)'!A7-Inputs!F17&lt;=0,Inputs!F17-('(FnCalls 1)'!A8-1)&lt;=0),(-Inputs!E24)*B278,0*B278)+IF(AND(INDEX('(Ranges)'!A13:J13,,MAX(1,'Plot Support'!B43-'(Tables)'!B184))-Inputs!F17&lt;=0,Inputs!F17-INDEX('(Ranges)'!A14:J14,,MAX(1,'Plot Support'!B43-'(Tables)'!B184))&lt;=0),Inputs!F24*B278,0*B278)</f>
        <v>0</v>
      </c>
      <c r="E71" s="116">
        <f>IF(AND('(FnCalls 1)'!A8-Inputs!F17&lt;=0,Inputs!F17-('(FnCalls 1)'!A9-1)&lt;=0),(-Inputs!E24)*B277,0*B277)+IF(AND(INDEX('(Ranges)'!A13:J13,,MAX(1,'Plot Support'!B44-'(Tables)'!B184))-Inputs!F17&lt;=0,Inputs!F17-INDEX('(Ranges)'!A14:J14,,MAX(1,'Plot Support'!B44-'(Tables)'!B184))&lt;=0),Inputs!F24*B277,0*B277)+IF(AND('(FnCalls 1)'!A8-Inputs!F17&lt;=0,Inputs!F17-('(FnCalls 1)'!A9-1)&lt;=0),(-Inputs!E24)*B278,0*B278)+IF(AND(INDEX('(Ranges)'!A13:J13,,MAX(1,'Plot Support'!B44-'(Tables)'!B184))-Inputs!F17&lt;=0,Inputs!F17-INDEX('(Ranges)'!A14:J14,,MAX(1,'Plot Support'!B44-'(Tables)'!B184))&lt;=0),Inputs!F24*B278,0*B278)</f>
        <v>0</v>
      </c>
      <c r="F71" s="116">
        <f>IF(AND('(FnCalls 1)'!A9-Inputs!F17&lt;=0,Inputs!F17-('(FnCalls 1)'!A10-1)&lt;=0),(-Inputs!E24)*B277,0*B277)+IF(AND(INDEX('(Ranges)'!A13:J13,,MAX(1,'Plot Support'!B45-'(Tables)'!B184))-Inputs!F17&lt;=0,Inputs!F17-INDEX('(Ranges)'!A14:J14,,MAX(1,'Plot Support'!B45-'(Tables)'!B184))&lt;=0),Inputs!F24*B277,0*B277)+IF(AND('(FnCalls 1)'!A9-Inputs!F17&lt;=0,Inputs!F17-('(FnCalls 1)'!A10-1)&lt;=0),(-Inputs!E24)*B278,0*B278)+IF(AND(INDEX('(Ranges)'!A13:J13,,MAX(1,'Plot Support'!B45-'(Tables)'!B184))-Inputs!F17&lt;=0,Inputs!F17-INDEX('(Ranges)'!A14:J14,,MAX(1,'Plot Support'!B45-'(Tables)'!B184))&lt;=0),Inputs!F24*B278,0*B278)</f>
        <v>0</v>
      </c>
      <c r="G71" s="116">
        <f>IF(AND('(FnCalls 1)'!A10-Inputs!F17&lt;=0,Inputs!F17-('(FnCalls 1)'!A11-1)&lt;=0),(-Inputs!E24)*B277,0*B277)+IF(AND(INDEX('(Ranges)'!A13:J13,,MAX(1,'Plot Support'!B46-'(Tables)'!B184))-Inputs!F17&lt;=0,Inputs!F17-INDEX('(Ranges)'!A14:J14,,MAX(1,'Plot Support'!B46-'(Tables)'!B184))&lt;=0),Inputs!F24*B277,0*B277)+IF(AND('(FnCalls 1)'!A10-Inputs!F17&lt;=0,Inputs!F17-('(FnCalls 1)'!A11-1)&lt;=0),(-Inputs!E24)*B278,0*B278)+IF(AND(INDEX('(Ranges)'!A13:J13,,MAX(1,'Plot Support'!B46-'(Tables)'!B184))-Inputs!F17&lt;=0,Inputs!F17-INDEX('(Ranges)'!A14:J14,,MAX(1,'Plot Support'!B46-'(Tables)'!B184))&lt;=0),Inputs!F24*B278,0*B278)</f>
        <v>0</v>
      </c>
      <c r="H71" s="69">
        <f>SUM(D71:G71)</f>
        <v>0</v>
      </c>
      <c r="I71" s="116">
        <f>IF(AND('(FnCalls 1)'!A11-Inputs!F17&lt;=0,Inputs!F17-('(FnCalls 1)'!A12-1)&lt;=0),(-Inputs!E24)*B277,0*B277)+IF(AND(INDEX('(Ranges)'!A13:J13,,MAX(1,'Plot Support'!B48-'(Tables)'!B184))-Inputs!F17&lt;=0,Inputs!F17-INDEX('(Ranges)'!A14:J14,,MAX(1,'Plot Support'!B48-'(Tables)'!B184))&lt;=0),Inputs!F24*B277,0*B277)+IF(AND('(FnCalls 1)'!A11-Inputs!F17&lt;=0,Inputs!F17-('(FnCalls 1)'!A12-1)&lt;=0),(-Inputs!E24)*B278,0*B278)+IF(AND(INDEX('(Ranges)'!A13:J13,,MAX(1,'Plot Support'!B48-'(Tables)'!B184))-Inputs!F17&lt;=0,Inputs!F17-INDEX('(Ranges)'!A14:J14,,MAX(1,'Plot Support'!B48-'(Tables)'!B184))&lt;=0),Inputs!F24*B278,0*B278)</f>
        <v>0</v>
      </c>
      <c r="J71" s="116">
        <f>IF(AND('(FnCalls 1)'!A12-Inputs!F17&lt;=0,Inputs!F17-('(FnCalls 1)'!A13-1)&lt;=0),(-Inputs!E24)*B277,0*B277)+IF(AND(INDEX('(Ranges)'!A13:J13,,MAX(1,'Plot Support'!B49-'(Tables)'!B184))-Inputs!F17&lt;=0,Inputs!F17-INDEX('(Ranges)'!A14:J14,,MAX(1,'Plot Support'!B49-'(Tables)'!B184))&lt;=0),Inputs!F24*B277,0*B277)+IF(AND('(FnCalls 1)'!A12-Inputs!F17&lt;=0,Inputs!F17-('(FnCalls 1)'!A13-1)&lt;=0),(-Inputs!E24)*B278,0*B278)+IF(AND(INDEX('(Ranges)'!A13:J13,,MAX(1,'Plot Support'!B49-'(Tables)'!B184))-Inputs!F17&lt;=0,Inputs!F17-INDEX('(Ranges)'!A14:J14,,MAX(1,'Plot Support'!B49-'(Tables)'!B184))&lt;=0),Inputs!F24*B278,0*B278)</f>
        <v>0</v>
      </c>
      <c r="K71" s="116">
        <f>IF(AND('(FnCalls 1)'!A13-Inputs!F17&lt;=0,Inputs!F17-('(FnCalls 1)'!A14-1)&lt;=0),(-Inputs!E24)*B277,0*B277)+IF(AND(INDEX('(Ranges)'!A13:J13,,MAX(1,'Plot Support'!B50-'(Tables)'!B184))-Inputs!F17&lt;=0,Inputs!F17-INDEX('(Ranges)'!A14:J14,,MAX(1,'Plot Support'!B50-'(Tables)'!B184))&lt;=0),Inputs!F24*B277,0*B277)+IF(AND('(FnCalls 1)'!A13-Inputs!F17&lt;=0,Inputs!F17-('(FnCalls 1)'!A14-1)&lt;=0),(-Inputs!E24)*B278,0*B278)+IF(AND(INDEX('(Ranges)'!A13:J13,,MAX(1,'Plot Support'!B50-'(Tables)'!B184))-Inputs!F17&lt;=0,Inputs!F17-INDEX('(Ranges)'!A14:J14,,MAX(1,'Plot Support'!B50-'(Tables)'!B184))&lt;=0),Inputs!F24*B278,0*B278)</f>
        <v>0</v>
      </c>
      <c r="L71" s="116">
        <f>IF(AND('(FnCalls 1)'!A14-Inputs!F17&lt;=0,Inputs!F17-('(FnCalls 1)'!A15-1)&lt;=0),(-Inputs!E24)*B277,0*B277)+IF(AND(INDEX('(Ranges)'!A13:J13,,MAX(1,'Plot Support'!B51-'(Tables)'!B184))-Inputs!F17&lt;=0,Inputs!F17-INDEX('(Ranges)'!A14:J14,,MAX(1,'Plot Support'!B51-'(Tables)'!B184))&lt;=0),Inputs!F24*B277,0*B277)+IF(AND('(FnCalls 1)'!A14-Inputs!F17&lt;=0,Inputs!F17-('(FnCalls 1)'!A15-1)&lt;=0),(-Inputs!E24)*B278,0*B278)+IF(AND(INDEX('(Ranges)'!A13:J13,,MAX(1,'Plot Support'!B51-'(Tables)'!B184))-Inputs!F17&lt;=0,Inputs!F17-INDEX('(Ranges)'!A14:J14,,MAX(1,'Plot Support'!B51-'(Tables)'!B184))&lt;=0),Inputs!F24*B278,0*B278)</f>
        <v>0</v>
      </c>
      <c r="M71" s="69">
        <f>SUM(I71:L71)</f>
        <v>0</v>
      </c>
    </row>
    <row r="72" spans="1:13" ht="12.75" hidden="1" customHeight="1" outlineLevel="2" x14ac:dyDescent="0.2">
      <c r="A72" s="144" t="str">
        <f>"         "&amp;Labels!B171</f>
        <v xml:space="preserve">         Invest 2</v>
      </c>
      <c r="B72" s="116">
        <f>IF(AND('(FnCalls 1)'!A6-Inputs!F18&lt;=0,Inputs!F18-('(FnCalls 1)'!A7-1)&lt;=0),(-Inputs!E25)*C277,0*C277)+IF(AND(INDEX('(Ranges)'!A13:J13,,MAX(1,'Plot Support'!B41-'(Tables)'!B185))-Inputs!F18&lt;=0,Inputs!F18-INDEX('(Ranges)'!A14:J14,,MAX(1,'Plot Support'!B41-'(Tables)'!B185))&lt;=0),Inputs!F25*C277,0*C277)+IF(AND('(FnCalls 1)'!A6-Inputs!F18&lt;=0,Inputs!F18-('(FnCalls 1)'!A7-1)&lt;=0),(-Inputs!E25)*C278,0*C278)+IF(AND(INDEX('(Ranges)'!A13:J13,,MAX(1,'Plot Support'!B41-'(Tables)'!B185))-Inputs!F18&lt;=0,Inputs!F18-INDEX('(Ranges)'!A14:J14,,MAX(1,'Plot Support'!B41-'(Tables)'!B185))&lt;=0),Inputs!F25*C278,0*C278)</f>
        <v>0</v>
      </c>
      <c r="C72" s="69">
        <f>B72</f>
        <v>0</v>
      </c>
      <c r="D72" s="116">
        <f>IF(AND('(FnCalls 1)'!A7-Inputs!F18&lt;=0,Inputs!F18-('(FnCalls 1)'!A8-1)&lt;=0),(-Inputs!E25)*C277,0*C277)+IF(AND(INDEX('(Ranges)'!A13:J13,,MAX(1,'Plot Support'!B43-'(Tables)'!B185))-Inputs!F18&lt;=0,Inputs!F18-INDEX('(Ranges)'!A14:J14,,MAX(1,'Plot Support'!B43-'(Tables)'!B185))&lt;=0),Inputs!F25*C277,0*C277)+IF(AND('(FnCalls 1)'!A7-Inputs!F18&lt;=0,Inputs!F18-('(FnCalls 1)'!A8-1)&lt;=0),(-Inputs!E25)*C278,0*C278)+IF(AND(INDEX('(Ranges)'!A13:J13,,MAX(1,'Plot Support'!B43-'(Tables)'!B185))-Inputs!F18&lt;=0,Inputs!F18-INDEX('(Ranges)'!A14:J14,,MAX(1,'Plot Support'!B43-'(Tables)'!B185))&lt;=0),Inputs!F25*C278,0*C278)</f>
        <v>0</v>
      </c>
      <c r="E72" s="116">
        <f>IF(AND('(FnCalls 1)'!A8-Inputs!F18&lt;=0,Inputs!F18-('(FnCalls 1)'!A9-1)&lt;=0),(-Inputs!E25)*C277,0*C277)+IF(AND(INDEX('(Ranges)'!A13:J13,,MAX(1,'Plot Support'!B44-'(Tables)'!B185))-Inputs!F18&lt;=0,Inputs!F18-INDEX('(Ranges)'!A14:J14,,MAX(1,'Plot Support'!B44-'(Tables)'!B185))&lt;=0),Inputs!F25*C277,0*C277)+IF(AND('(FnCalls 1)'!A8-Inputs!F18&lt;=0,Inputs!F18-('(FnCalls 1)'!A9-1)&lt;=0),(-Inputs!E25)*C278,0*C278)+IF(AND(INDEX('(Ranges)'!A13:J13,,MAX(1,'Plot Support'!B44-'(Tables)'!B185))-Inputs!F18&lt;=0,Inputs!F18-INDEX('(Ranges)'!A14:J14,,MAX(1,'Plot Support'!B44-'(Tables)'!B185))&lt;=0),Inputs!F25*C278,0*C278)</f>
        <v>0</v>
      </c>
      <c r="F72" s="116">
        <f>IF(AND('(FnCalls 1)'!A9-Inputs!F18&lt;=0,Inputs!F18-('(FnCalls 1)'!A10-1)&lt;=0),(-Inputs!E25)*C277,0*C277)+IF(AND(INDEX('(Ranges)'!A13:J13,,MAX(1,'Plot Support'!B45-'(Tables)'!B185))-Inputs!F18&lt;=0,Inputs!F18-INDEX('(Ranges)'!A14:J14,,MAX(1,'Plot Support'!B45-'(Tables)'!B185))&lt;=0),Inputs!F25*C277,0*C277)+IF(AND('(FnCalls 1)'!A9-Inputs!F18&lt;=0,Inputs!F18-('(FnCalls 1)'!A10-1)&lt;=0),(-Inputs!E25)*C278,0*C278)+IF(AND(INDEX('(Ranges)'!A13:J13,,MAX(1,'Plot Support'!B45-'(Tables)'!B185))-Inputs!F18&lt;=0,Inputs!F18-INDEX('(Ranges)'!A14:J14,,MAX(1,'Plot Support'!B45-'(Tables)'!B185))&lt;=0),Inputs!F25*C278,0*C278)</f>
        <v>0</v>
      </c>
      <c r="G72" s="116">
        <f>IF(AND('(FnCalls 1)'!A10-Inputs!F18&lt;=0,Inputs!F18-('(FnCalls 1)'!A11-1)&lt;=0),(-Inputs!E25)*C277,0*C277)+IF(AND(INDEX('(Ranges)'!A13:J13,,MAX(1,'Plot Support'!B46-'(Tables)'!B185))-Inputs!F18&lt;=0,Inputs!F18-INDEX('(Ranges)'!A14:J14,,MAX(1,'Plot Support'!B46-'(Tables)'!B185))&lt;=0),Inputs!F25*C277,0*C277)+IF(AND('(FnCalls 1)'!A10-Inputs!F18&lt;=0,Inputs!F18-('(FnCalls 1)'!A11-1)&lt;=0),(-Inputs!E25)*C278,0*C278)+IF(AND(INDEX('(Ranges)'!A13:J13,,MAX(1,'Plot Support'!B46-'(Tables)'!B185))-Inputs!F18&lt;=0,Inputs!F18-INDEX('(Ranges)'!A14:J14,,MAX(1,'Plot Support'!B46-'(Tables)'!B185))&lt;=0),Inputs!F25*C278,0*C278)</f>
        <v>0</v>
      </c>
      <c r="H72" s="69">
        <f>SUM(D72:G72)</f>
        <v>0</v>
      </c>
      <c r="I72" s="116">
        <f>IF(AND('(FnCalls 1)'!A11-Inputs!F18&lt;=0,Inputs!F18-('(FnCalls 1)'!A12-1)&lt;=0),(-Inputs!E25)*C277,0*C277)+IF(AND(INDEX('(Ranges)'!A13:J13,,MAX(1,'Plot Support'!B48-'(Tables)'!B185))-Inputs!F18&lt;=0,Inputs!F18-INDEX('(Ranges)'!A14:J14,,MAX(1,'Plot Support'!B48-'(Tables)'!B185))&lt;=0),Inputs!F25*C277,0*C277)+IF(AND('(FnCalls 1)'!A11-Inputs!F18&lt;=0,Inputs!F18-('(FnCalls 1)'!A12-1)&lt;=0),(-Inputs!E25)*C278,0*C278)+IF(AND(INDEX('(Ranges)'!A13:J13,,MAX(1,'Plot Support'!B48-'(Tables)'!B185))-Inputs!F18&lt;=0,Inputs!F18-INDEX('(Ranges)'!A14:J14,,MAX(1,'Plot Support'!B48-'(Tables)'!B185))&lt;=0),Inputs!F25*C278,0*C278)</f>
        <v>0</v>
      </c>
      <c r="J72" s="116">
        <f>IF(AND('(FnCalls 1)'!A12-Inputs!F18&lt;=0,Inputs!F18-('(FnCalls 1)'!A13-1)&lt;=0),(-Inputs!E25)*C277,0*C277)+IF(AND(INDEX('(Ranges)'!A13:J13,,MAX(1,'Plot Support'!B49-'(Tables)'!B185))-Inputs!F18&lt;=0,Inputs!F18-INDEX('(Ranges)'!A14:J14,,MAX(1,'Plot Support'!B49-'(Tables)'!B185))&lt;=0),Inputs!F25*C277,0*C277)+IF(AND('(FnCalls 1)'!A12-Inputs!F18&lt;=0,Inputs!F18-('(FnCalls 1)'!A13-1)&lt;=0),(-Inputs!E25)*C278,0*C278)+IF(AND(INDEX('(Ranges)'!A13:J13,,MAX(1,'Plot Support'!B49-'(Tables)'!B185))-Inputs!F18&lt;=0,Inputs!F18-INDEX('(Ranges)'!A14:J14,,MAX(1,'Plot Support'!B49-'(Tables)'!B185))&lt;=0),Inputs!F25*C278,0*C278)</f>
        <v>0</v>
      </c>
      <c r="K72" s="116">
        <f>IF(AND('(FnCalls 1)'!A13-Inputs!F18&lt;=0,Inputs!F18-('(FnCalls 1)'!A14-1)&lt;=0),(-Inputs!E25)*C277,0*C277)+IF(AND(INDEX('(Ranges)'!A13:J13,,MAX(1,'Plot Support'!B50-'(Tables)'!B185))-Inputs!F18&lt;=0,Inputs!F18-INDEX('(Ranges)'!A14:J14,,MAX(1,'Plot Support'!B50-'(Tables)'!B185))&lt;=0),Inputs!F25*C277,0*C277)+IF(AND('(FnCalls 1)'!A13-Inputs!F18&lt;=0,Inputs!F18-('(FnCalls 1)'!A14-1)&lt;=0),(-Inputs!E25)*C278,0*C278)+IF(AND(INDEX('(Ranges)'!A13:J13,,MAX(1,'Plot Support'!B50-'(Tables)'!B185))-Inputs!F18&lt;=0,Inputs!F18-INDEX('(Ranges)'!A14:J14,,MAX(1,'Plot Support'!B50-'(Tables)'!B185))&lt;=0),Inputs!F25*C278,0*C278)</f>
        <v>0</v>
      </c>
      <c r="L72" s="116">
        <f>IF(AND('(FnCalls 1)'!A14-Inputs!F18&lt;=0,Inputs!F18-('(FnCalls 1)'!A15-1)&lt;=0),(-Inputs!E25)*C277,0*C277)+IF(AND(INDEX('(Ranges)'!A13:J13,,MAX(1,'Plot Support'!B51-'(Tables)'!B185))-Inputs!F18&lt;=0,Inputs!F18-INDEX('(Ranges)'!A14:J14,,MAX(1,'Plot Support'!B51-'(Tables)'!B185))&lt;=0),Inputs!F25*C277,0*C277)+IF(AND('(FnCalls 1)'!A14-Inputs!F18&lt;=0,Inputs!F18-('(FnCalls 1)'!A15-1)&lt;=0),(-Inputs!E25)*C278,0*C278)+IF(AND(INDEX('(Ranges)'!A13:J13,,MAX(1,'Plot Support'!B51-'(Tables)'!B185))-Inputs!F18&lt;=0,Inputs!F18-INDEX('(Ranges)'!A14:J14,,MAX(1,'Plot Support'!B51-'(Tables)'!B185))&lt;=0),Inputs!F25*C278,0*C278)</f>
        <v>0</v>
      </c>
      <c r="M72" s="69">
        <f>SUM(I72:L72)</f>
        <v>0</v>
      </c>
    </row>
    <row r="73" spans="1:13" ht="12.75" hidden="1" customHeight="1" outlineLevel="2" x14ac:dyDescent="0.2">
      <c r="A73" s="144" t="str">
        <f>"         "&amp;Labels!C169</f>
        <v xml:space="preserve">         Total</v>
      </c>
      <c r="B73" s="159">
        <f>SUM(B71:B72)</f>
        <v>0</v>
      </c>
      <c r="C73" s="69">
        <f>SUM(B71:B72)</f>
        <v>0</v>
      </c>
      <c r="D73" s="159">
        <f>SUM(D71:D72)</f>
        <v>0</v>
      </c>
      <c r="E73" s="159">
        <f>SUM(E71:E72)</f>
        <v>0</v>
      </c>
      <c r="F73" s="159">
        <f>SUM(F71:F72)</f>
        <v>0</v>
      </c>
      <c r="G73" s="159">
        <f>SUM(G71:G72)</f>
        <v>0</v>
      </c>
      <c r="H73" s="69">
        <f>SUM(D73:G73)</f>
        <v>0</v>
      </c>
      <c r="I73" s="159">
        <f>SUM(I71:I72)</f>
        <v>0</v>
      </c>
      <c r="J73" s="159">
        <f>SUM(J71:J72)</f>
        <v>0</v>
      </c>
      <c r="K73" s="159">
        <f>SUM(K71:K72)</f>
        <v>0</v>
      </c>
      <c r="L73" s="159">
        <f>SUM(L71:L72)</f>
        <v>0</v>
      </c>
      <c r="M73" s="69">
        <f>SUM(I73:L73)</f>
        <v>0</v>
      </c>
    </row>
    <row r="74" spans="1:13" ht="12.75" hidden="1" customHeight="1" outlineLevel="2" x14ac:dyDescent="0.2">
      <c r="A74" s="144" t="str">
        <f>"      "&amp;Labels!B167</f>
        <v xml:space="preserve">      Non-Deprec</v>
      </c>
      <c r="B74" s="159"/>
      <c r="C74" s="69"/>
      <c r="D74" s="159"/>
      <c r="E74" s="159"/>
      <c r="F74" s="159"/>
      <c r="G74" s="159"/>
      <c r="H74" s="69"/>
      <c r="I74" s="159"/>
      <c r="J74" s="159"/>
      <c r="K74" s="159"/>
      <c r="L74" s="159"/>
      <c r="M74" s="69"/>
    </row>
    <row r="75" spans="1:13" ht="12.75" hidden="1" customHeight="1" outlineLevel="2" x14ac:dyDescent="0.2">
      <c r="A75" s="144" t="str">
        <f>"         "&amp;Labels!B170</f>
        <v xml:space="preserve">         Invest 1</v>
      </c>
      <c r="B75" s="116">
        <f>IF(AND('(FnCalls 1)'!A6-Inputs!F17&lt;=0,Inputs!F17-('(FnCalls 1)'!A7-1)&lt;=0),(-Inputs!E28)*B277,0*B277)+IF(AND(INDEX('(Ranges)'!A13:J13,,MAX(1,'Plot Support'!B41-'(Tables)'!B184))-Inputs!F17&lt;=0,Inputs!F17-INDEX('(Ranges)'!A14:J14,,MAX(1,'Plot Support'!B41-'(Tables)'!B184))&lt;=0),Inputs!F28*B277,0*B277)+IF(AND('(FnCalls 1)'!A6-Inputs!F17&lt;=0,Inputs!F17-('(FnCalls 1)'!A7-1)&lt;=0),(-Inputs!E28)*B278,0*B278)+IF(AND(INDEX('(Ranges)'!A13:J13,,MAX(1,'Plot Support'!B41-'(Tables)'!B184))-Inputs!F17&lt;=0,Inputs!F17-INDEX('(Ranges)'!A14:J14,,MAX(1,'Plot Support'!B41-'(Tables)'!B184))&lt;=0),Inputs!F28*B278,0*B278)</f>
        <v>0</v>
      </c>
      <c r="C75" s="69">
        <f>B75</f>
        <v>0</v>
      </c>
      <c r="D75" s="116">
        <f>IF(AND('(FnCalls 1)'!A7-Inputs!F17&lt;=0,Inputs!F17-('(FnCalls 1)'!A8-1)&lt;=0),(-Inputs!E28)*B277,0*B277)+IF(AND(INDEX('(Ranges)'!A13:J13,,MAX(1,'Plot Support'!B43-'(Tables)'!B184))-Inputs!F17&lt;=0,Inputs!F17-INDEX('(Ranges)'!A14:J14,,MAX(1,'Plot Support'!B43-'(Tables)'!B184))&lt;=0),Inputs!F28*B277,0*B277)+IF(AND('(FnCalls 1)'!A7-Inputs!F17&lt;=0,Inputs!F17-('(FnCalls 1)'!A8-1)&lt;=0),(-Inputs!E28)*B278,0*B278)+IF(AND(INDEX('(Ranges)'!A13:J13,,MAX(1,'Plot Support'!B43-'(Tables)'!B184))-Inputs!F17&lt;=0,Inputs!F17-INDEX('(Ranges)'!A14:J14,,MAX(1,'Plot Support'!B43-'(Tables)'!B184))&lt;=0),Inputs!F28*B278,0*B278)</f>
        <v>0</v>
      </c>
      <c r="E75" s="116">
        <f>IF(AND('(FnCalls 1)'!A8-Inputs!F17&lt;=0,Inputs!F17-('(FnCalls 1)'!A9-1)&lt;=0),(-Inputs!E28)*B277,0*B277)+IF(AND(INDEX('(Ranges)'!A13:J13,,MAX(1,'Plot Support'!B44-'(Tables)'!B184))-Inputs!F17&lt;=0,Inputs!F17-INDEX('(Ranges)'!A14:J14,,MAX(1,'Plot Support'!B44-'(Tables)'!B184))&lt;=0),Inputs!F28*B277,0*B277)+IF(AND('(FnCalls 1)'!A8-Inputs!F17&lt;=0,Inputs!F17-('(FnCalls 1)'!A9-1)&lt;=0),(-Inputs!E28)*B278,0*B278)+IF(AND(INDEX('(Ranges)'!A13:J13,,MAX(1,'Plot Support'!B44-'(Tables)'!B184))-Inputs!F17&lt;=0,Inputs!F17-INDEX('(Ranges)'!A14:J14,,MAX(1,'Plot Support'!B44-'(Tables)'!B184))&lt;=0),Inputs!F28*B278,0*B278)</f>
        <v>0</v>
      </c>
      <c r="F75" s="116">
        <f>IF(AND('(FnCalls 1)'!A9-Inputs!F17&lt;=0,Inputs!F17-('(FnCalls 1)'!A10-1)&lt;=0),(-Inputs!E28)*B277,0*B277)+IF(AND(INDEX('(Ranges)'!A13:J13,,MAX(1,'Plot Support'!B45-'(Tables)'!B184))-Inputs!F17&lt;=0,Inputs!F17-INDEX('(Ranges)'!A14:J14,,MAX(1,'Plot Support'!B45-'(Tables)'!B184))&lt;=0),Inputs!F28*B277,0*B277)+IF(AND('(FnCalls 1)'!A9-Inputs!F17&lt;=0,Inputs!F17-('(FnCalls 1)'!A10-1)&lt;=0),(-Inputs!E28)*B278,0*B278)+IF(AND(INDEX('(Ranges)'!A13:J13,,MAX(1,'Plot Support'!B45-'(Tables)'!B184))-Inputs!F17&lt;=0,Inputs!F17-INDEX('(Ranges)'!A14:J14,,MAX(1,'Plot Support'!B45-'(Tables)'!B184))&lt;=0),Inputs!F28*B278,0*B278)</f>
        <v>0</v>
      </c>
      <c r="G75" s="116">
        <f>IF(AND('(FnCalls 1)'!A10-Inputs!F17&lt;=0,Inputs!F17-('(FnCalls 1)'!A11-1)&lt;=0),(-Inputs!E28)*B277,0*B277)+IF(AND(INDEX('(Ranges)'!A13:J13,,MAX(1,'Plot Support'!B46-'(Tables)'!B184))-Inputs!F17&lt;=0,Inputs!F17-INDEX('(Ranges)'!A14:J14,,MAX(1,'Plot Support'!B46-'(Tables)'!B184))&lt;=0),Inputs!F28*B277,0*B277)+IF(AND('(FnCalls 1)'!A10-Inputs!F17&lt;=0,Inputs!F17-('(FnCalls 1)'!A11-1)&lt;=0),(-Inputs!E28)*B278,0*B278)+IF(AND(INDEX('(Ranges)'!A13:J13,,MAX(1,'Plot Support'!B46-'(Tables)'!B184))-Inputs!F17&lt;=0,Inputs!F17-INDEX('(Ranges)'!A14:J14,,MAX(1,'Plot Support'!B46-'(Tables)'!B184))&lt;=0),Inputs!F28*B278,0*B278)</f>
        <v>0</v>
      </c>
      <c r="H75" s="69">
        <f t="shared" ref="H75:H80" si="18">SUM(D75:G75)</f>
        <v>0</v>
      </c>
      <c r="I75" s="116">
        <f>IF(AND('(FnCalls 1)'!A11-Inputs!F17&lt;=0,Inputs!F17-('(FnCalls 1)'!A12-1)&lt;=0),(-Inputs!E28)*B277,0*B277)+IF(AND(INDEX('(Ranges)'!A13:J13,,MAX(1,'Plot Support'!B48-'(Tables)'!B184))-Inputs!F17&lt;=0,Inputs!F17-INDEX('(Ranges)'!A14:J14,,MAX(1,'Plot Support'!B48-'(Tables)'!B184))&lt;=0),Inputs!F28*B277,0*B277)+IF(AND('(FnCalls 1)'!A11-Inputs!F17&lt;=0,Inputs!F17-('(FnCalls 1)'!A12-1)&lt;=0),(-Inputs!E28)*B278,0*B278)+IF(AND(INDEX('(Ranges)'!A13:J13,,MAX(1,'Plot Support'!B48-'(Tables)'!B184))-Inputs!F17&lt;=0,Inputs!F17-INDEX('(Ranges)'!A14:J14,,MAX(1,'Plot Support'!B48-'(Tables)'!B184))&lt;=0),Inputs!F28*B278,0*B278)</f>
        <v>0</v>
      </c>
      <c r="J75" s="116">
        <f>IF(AND('(FnCalls 1)'!A12-Inputs!F17&lt;=0,Inputs!F17-('(FnCalls 1)'!A13-1)&lt;=0),(-Inputs!E28)*B277,0*B277)+IF(AND(INDEX('(Ranges)'!A13:J13,,MAX(1,'Plot Support'!B49-'(Tables)'!B184))-Inputs!F17&lt;=0,Inputs!F17-INDEX('(Ranges)'!A14:J14,,MAX(1,'Plot Support'!B49-'(Tables)'!B184))&lt;=0),Inputs!F28*B277,0*B277)+IF(AND('(FnCalls 1)'!A12-Inputs!F17&lt;=0,Inputs!F17-('(FnCalls 1)'!A13-1)&lt;=0),(-Inputs!E28)*B278,0*B278)+IF(AND(INDEX('(Ranges)'!A13:J13,,MAX(1,'Plot Support'!B49-'(Tables)'!B184))-Inputs!F17&lt;=0,Inputs!F17-INDEX('(Ranges)'!A14:J14,,MAX(1,'Plot Support'!B49-'(Tables)'!B184))&lt;=0),Inputs!F28*B278,0*B278)</f>
        <v>0</v>
      </c>
      <c r="K75" s="116">
        <f>IF(AND('(FnCalls 1)'!A13-Inputs!F17&lt;=0,Inputs!F17-('(FnCalls 1)'!A14-1)&lt;=0),(-Inputs!E28)*B277,0*B277)+IF(AND(INDEX('(Ranges)'!A13:J13,,MAX(1,'Plot Support'!B50-'(Tables)'!B184))-Inputs!F17&lt;=0,Inputs!F17-INDEX('(Ranges)'!A14:J14,,MAX(1,'Plot Support'!B50-'(Tables)'!B184))&lt;=0),Inputs!F28*B277,0*B277)+IF(AND('(FnCalls 1)'!A13-Inputs!F17&lt;=0,Inputs!F17-('(FnCalls 1)'!A14-1)&lt;=0),(-Inputs!E28)*B278,0*B278)+IF(AND(INDEX('(Ranges)'!A13:J13,,MAX(1,'Plot Support'!B50-'(Tables)'!B184))-Inputs!F17&lt;=0,Inputs!F17-INDEX('(Ranges)'!A14:J14,,MAX(1,'Plot Support'!B50-'(Tables)'!B184))&lt;=0),Inputs!F28*B278,0*B278)</f>
        <v>0</v>
      </c>
      <c r="L75" s="116">
        <f>IF(AND('(FnCalls 1)'!A14-Inputs!F17&lt;=0,Inputs!F17-('(FnCalls 1)'!A15-1)&lt;=0),(-Inputs!E28)*B277,0*B277)+IF(AND(INDEX('(Ranges)'!A13:J13,,MAX(1,'Plot Support'!B51-'(Tables)'!B184))-Inputs!F17&lt;=0,Inputs!F17-INDEX('(Ranges)'!A14:J14,,MAX(1,'Plot Support'!B51-'(Tables)'!B184))&lt;=0),Inputs!F28*B277,0*B277)+IF(AND('(FnCalls 1)'!A14-Inputs!F17&lt;=0,Inputs!F17-('(FnCalls 1)'!A15-1)&lt;=0),(-Inputs!E28)*B278,0*B278)+IF(AND(INDEX('(Ranges)'!A13:J13,,MAX(1,'Plot Support'!B51-'(Tables)'!B184))-Inputs!F17&lt;=0,Inputs!F17-INDEX('(Ranges)'!A14:J14,,MAX(1,'Plot Support'!B51-'(Tables)'!B184))&lt;=0),Inputs!F28*B278,0*B278)</f>
        <v>0</v>
      </c>
      <c r="M75" s="69">
        <f t="shared" ref="M75:M80" si="19">SUM(I75:L75)</f>
        <v>0</v>
      </c>
    </row>
    <row r="76" spans="1:13" ht="12.75" hidden="1" customHeight="1" outlineLevel="2" x14ac:dyDescent="0.2">
      <c r="A76" s="144" t="str">
        <f>"         "&amp;Labels!B171</f>
        <v xml:space="preserve">         Invest 2</v>
      </c>
      <c r="B76" s="116">
        <f>IF(AND('(FnCalls 1)'!A6-Inputs!F18&lt;=0,Inputs!F18-('(FnCalls 1)'!A7-1)&lt;=0),(-Inputs!E29)*C277,0*C277)+IF(AND(INDEX('(Ranges)'!A13:J13,,MAX(1,'Plot Support'!B41-'(Tables)'!B185))-Inputs!F18&lt;=0,Inputs!F18-INDEX('(Ranges)'!A14:J14,,MAX(1,'Plot Support'!B41-'(Tables)'!B185))&lt;=0),Inputs!F29*C277,0*C277)+IF(AND('(FnCalls 1)'!A6-Inputs!F18&lt;=0,Inputs!F18-('(FnCalls 1)'!A7-1)&lt;=0),(-Inputs!E29)*C278,0*C278)+IF(AND(INDEX('(Ranges)'!A13:J13,,MAX(1,'Plot Support'!B41-'(Tables)'!B185))-Inputs!F18&lt;=0,Inputs!F18-INDEX('(Ranges)'!A14:J14,,MAX(1,'Plot Support'!B41-'(Tables)'!B185))&lt;=0),Inputs!F29*C278,0*C278)</f>
        <v>0</v>
      </c>
      <c r="C76" s="69">
        <f>B76</f>
        <v>0</v>
      </c>
      <c r="D76" s="116">
        <f>IF(AND('(FnCalls 1)'!A7-Inputs!F18&lt;=0,Inputs!F18-('(FnCalls 1)'!A8-1)&lt;=0),(-Inputs!E29)*C277,0*C277)+IF(AND(INDEX('(Ranges)'!A13:J13,,MAX(1,'Plot Support'!B43-'(Tables)'!B185))-Inputs!F18&lt;=0,Inputs!F18-INDEX('(Ranges)'!A14:J14,,MAX(1,'Plot Support'!B43-'(Tables)'!B185))&lt;=0),Inputs!F29*C277,0*C277)+IF(AND('(FnCalls 1)'!A7-Inputs!F18&lt;=0,Inputs!F18-('(FnCalls 1)'!A8-1)&lt;=0),(-Inputs!E29)*C278,0*C278)+IF(AND(INDEX('(Ranges)'!A13:J13,,MAX(1,'Plot Support'!B43-'(Tables)'!B185))-Inputs!F18&lt;=0,Inputs!F18-INDEX('(Ranges)'!A14:J14,,MAX(1,'Plot Support'!B43-'(Tables)'!B185))&lt;=0),Inputs!F29*C278,0*C278)</f>
        <v>0</v>
      </c>
      <c r="E76" s="116">
        <f>IF(AND('(FnCalls 1)'!A8-Inputs!F18&lt;=0,Inputs!F18-('(FnCalls 1)'!A9-1)&lt;=0),(-Inputs!E29)*C277,0*C277)+IF(AND(INDEX('(Ranges)'!A13:J13,,MAX(1,'Plot Support'!B44-'(Tables)'!B185))-Inputs!F18&lt;=0,Inputs!F18-INDEX('(Ranges)'!A14:J14,,MAX(1,'Plot Support'!B44-'(Tables)'!B185))&lt;=0),Inputs!F29*C277,0*C277)+IF(AND('(FnCalls 1)'!A8-Inputs!F18&lt;=0,Inputs!F18-('(FnCalls 1)'!A9-1)&lt;=0),(-Inputs!E29)*C278,0*C278)+IF(AND(INDEX('(Ranges)'!A13:J13,,MAX(1,'Plot Support'!B44-'(Tables)'!B185))-Inputs!F18&lt;=0,Inputs!F18-INDEX('(Ranges)'!A14:J14,,MAX(1,'Plot Support'!B44-'(Tables)'!B185))&lt;=0),Inputs!F29*C278,0*C278)</f>
        <v>0</v>
      </c>
      <c r="F76" s="116">
        <f>IF(AND('(FnCalls 1)'!A9-Inputs!F18&lt;=0,Inputs!F18-('(FnCalls 1)'!A10-1)&lt;=0),(-Inputs!E29)*C277,0*C277)+IF(AND(INDEX('(Ranges)'!A13:J13,,MAX(1,'Plot Support'!B45-'(Tables)'!B185))-Inputs!F18&lt;=0,Inputs!F18-INDEX('(Ranges)'!A14:J14,,MAX(1,'Plot Support'!B45-'(Tables)'!B185))&lt;=0),Inputs!F29*C277,0*C277)+IF(AND('(FnCalls 1)'!A9-Inputs!F18&lt;=0,Inputs!F18-('(FnCalls 1)'!A10-1)&lt;=0),(-Inputs!E29)*C278,0*C278)+IF(AND(INDEX('(Ranges)'!A13:J13,,MAX(1,'Plot Support'!B45-'(Tables)'!B185))-Inputs!F18&lt;=0,Inputs!F18-INDEX('(Ranges)'!A14:J14,,MAX(1,'Plot Support'!B45-'(Tables)'!B185))&lt;=0),Inputs!F29*C278,0*C278)</f>
        <v>0</v>
      </c>
      <c r="G76" s="116">
        <f>IF(AND('(FnCalls 1)'!A10-Inputs!F18&lt;=0,Inputs!F18-('(FnCalls 1)'!A11-1)&lt;=0),(-Inputs!E29)*C277,0*C277)+IF(AND(INDEX('(Ranges)'!A13:J13,,MAX(1,'Plot Support'!B46-'(Tables)'!B185))-Inputs!F18&lt;=0,Inputs!F18-INDEX('(Ranges)'!A14:J14,,MAX(1,'Plot Support'!B46-'(Tables)'!B185))&lt;=0),Inputs!F29*C277,0*C277)+IF(AND('(FnCalls 1)'!A10-Inputs!F18&lt;=0,Inputs!F18-('(FnCalls 1)'!A11-1)&lt;=0),(-Inputs!E29)*C278,0*C278)+IF(AND(INDEX('(Ranges)'!A13:J13,,MAX(1,'Plot Support'!B46-'(Tables)'!B185))-Inputs!F18&lt;=0,Inputs!F18-INDEX('(Ranges)'!A14:J14,,MAX(1,'Plot Support'!B46-'(Tables)'!B185))&lt;=0),Inputs!F29*C278,0*C278)</f>
        <v>0</v>
      </c>
      <c r="H76" s="69">
        <f t="shared" si="18"/>
        <v>0</v>
      </c>
      <c r="I76" s="116">
        <f>IF(AND('(FnCalls 1)'!A11-Inputs!F18&lt;=0,Inputs!F18-('(FnCalls 1)'!A12-1)&lt;=0),(-Inputs!E29)*C277,0*C277)+IF(AND(INDEX('(Ranges)'!A13:J13,,MAX(1,'Plot Support'!B48-'(Tables)'!B185))-Inputs!F18&lt;=0,Inputs!F18-INDEX('(Ranges)'!A14:J14,,MAX(1,'Plot Support'!B48-'(Tables)'!B185))&lt;=0),Inputs!F29*C277,0*C277)+IF(AND('(FnCalls 1)'!A11-Inputs!F18&lt;=0,Inputs!F18-('(FnCalls 1)'!A12-1)&lt;=0),(-Inputs!E29)*C278,0*C278)+IF(AND(INDEX('(Ranges)'!A13:J13,,MAX(1,'Plot Support'!B48-'(Tables)'!B185))-Inputs!F18&lt;=0,Inputs!F18-INDEX('(Ranges)'!A14:J14,,MAX(1,'Plot Support'!B48-'(Tables)'!B185))&lt;=0),Inputs!F29*C278,0*C278)</f>
        <v>0</v>
      </c>
      <c r="J76" s="116">
        <f>IF(AND('(FnCalls 1)'!A12-Inputs!F18&lt;=0,Inputs!F18-('(FnCalls 1)'!A13-1)&lt;=0),(-Inputs!E29)*C277,0*C277)+IF(AND(INDEX('(Ranges)'!A13:J13,,MAX(1,'Plot Support'!B49-'(Tables)'!B185))-Inputs!F18&lt;=0,Inputs!F18-INDEX('(Ranges)'!A14:J14,,MAX(1,'Plot Support'!B49-'(Tables)'!B185))&lt;=0),Inputs!F29*C277,0*C277)+IF(AND('(FnCalls 1)'!A12-Inputs!F18&lt;=0,Inputs!F18-('(FnCalls 1)'!A13-1)&lt;=0),(-Inputs!E29)*C278,0*C278)+IF(AND(INDEX('(Ranges)'!A13:J13,,MAX(1,'Plot Support'!B49-'(Tables)'!B185))-Inputs!F18&lt;=0,Inputs!F18-INDEX('(Ranges)'!A14:J14,,MAX(1,'Plot Support'!B49-'(Tables)'!B185))&lt;=0),Inputs!F29*C278,0*C278)</f>
        <v>0</v>
      </c>
      <c r="K76" s="116">
        <f>IF(AND('(FnCalls 1)'!A13-Inputs!F18&lt;=0,Inputs!F18-('(FnCalls 1)'!A14-1)&lt;=0),(-Inputs!E29)*C277,0*C277)+IF(AND(INDEX('(Ranges)'!A13:J13,,MAX(1,'Plot Support'!B50-'(Tables)'!B185))-Inputs!F18&lt;=0,Inputs!F18-INDEX('(Ranges)'!A14:J14,,MAX(1,'Plot Support'!B50-'(Tables)'!B185))&lt;=0),Inputs!F29*C277,0*C277)+IF(AND('(FnCalls 1)'!A13-Inputs!F18&lt;=0,Inputs!F18-('(FnCalls 1)'!A14-1)&lt;=0),(-Inputs!E29)*C278,0*C278)+IF(AND(INDEX('(Ranges)'!A13:J13,,MAX(1,'Plot Support'!B50-'(Tables)'!B185))-Inputs!F18&lt;=0,Inputs!F18-INDEX('(Ranges)'!A14:J14,,MAX(1,'Plot Support'!B50-'(Tables)'!B185))&lt;=0),Inputs!F29*C278,0*C278)</f>
        <v>0</v>
      </c>
      <c r="L76" s="116">
        <f>IF(AND('(FnCalls 1)'!A14-Inputs!F18&lt;=0,Inputs!F18-('(FnCalls 1)'!A15-1)&lt;=0),(-Inputs!E29)*C277,0*C277)+IF(AND(INDEX('(Ranges)'!A13:J13,,MAX(1,'Plot Support'!B51-'(Tables)'!B185))-Inputs!F18&lt;=0,Inputs!F18-INDEX('(Ranges)'!A14:J14,,MAX(1,'Plot Support'!B51-'(Tables)'!B185))&lt;=0),Inputs!F29*C277,0*C277)+IF(AND('(FnCalls 1)'!A14-Inputs!F18&lt;=0,Inputs!F18-('(FnCalls 1)'!A15-1)&lt;=0),(-Inputs!E29)*C278,0*C278)+IF(AND(INDEX('(Ranges)'!A13:J13,,MAX(1,'Plot Support'!B51-'(Tables)'!B185))-Inputs!F18&lt;=0,Inputs!F18-INDEX('(Ranges)'!A14:J14,,MAX(1,'Plot Support'!B51-'(Tables)'!B185))&lt;=0),Inputs!F29*C278,0*C278)</f>
        <v>0</v>
      </c>
      <c r="M76" s="69">
        <f t="shared" si="19"/>
        <v>0</v>
      </c>
    </row>
    <row r="77" spans="1:13" ht="12.75" hidden="1" customHeight="1" outlineLevel="2" x14ac:dyDescent="0.2">
      <c r="A77" s="144" t="str">
        <f>"         "&amp;Labels!C169</f>
        <v xml:space="preserve">         Total</v>
      </c>
      <c r="B77" s="159">
        <f>SUM(B75:B76)</f>
        <v>0</v>
      </c>
      <c r="C77" s="69">
        <f>SUM(B75:B76)</f>
        <v>0</v>
      </c>
      <c r="D77" s="159">
        <f>SUM(D75:D76)</f>
        <v>0</v>
      </c>
      <c r="E77" s="159">
        <f>SUM(E75:E76)</f>
        <v>0</v>
      </c>
      <c r="F77" s="159">
        <f>SUM(F75:F76)</f>
        <v>0</v>
      </c>
      <c r="G77" s="159">
        <f>SUM(G75:G76)</f>
        <v>0</v>
      </c>
      <c r="H77" s="69">
        <f t="shared" si="18"/>
        <v>0</v>
      </c>
      <c r="I77" s="159">
        <f>SUM(I75:I76)</f>
        <v>0</v>
      </c>
      <c r="J77" s="159">
        <f>SUM(J75:J76)</f>
        <v>0</v>
      </c>
      <c r="K77" s="159">
        <f>SUM(K75:K76)</f>
        <v>0</v>
      </c>
      <c r="L77" s="159">
        <f>SUM(L75:L76)</f>
        <v>0</v>
      </c>
      <c r="M77" s="69">
        <f t="shared" si="19"/>
        <v>0</v>
      </c>
    </row>
    <row r="78" spans="1:13" ht="12.75" hidden="1" customHeight="1" outlineLevel="2" x14ac:dyDescent="0.2">
      <c r="A78" s="114" t="str">
        <f>"      "&amp;Labels!C165</f>
        <v xml:space="preserve">      Total</v>
      </c>
      <c r="B78" s="113">
        <f>SUM(B73,B77)</f>
        <v>0</v>
      </c>
      <c r="C78" s="69">
        <f>SUM(B73,B77)</f>
        <v>0</v>
      </c>
      <c r="D78" s="113">
        <f>SUM(D79:D80)</f>
        <v>0</v>
      </c>
      <c r="E78" s="113">
        <f>SUM(E79:E80)</f>
        <v>0</v>
      </c>
      <c r="F78" s="113">
        <f>SUM(F79:F80)</f>
        <v>0</v>
      </c>
      <c r="G78" s="113">
        <f>SUM(G79:G80)</f>
        <v>0</v>
      </c>
      <c r="H78" s="69">
        <f t="shared" si="18"/>
        <v>0</v>
      </c>
      <c r="I78" s="113">
        <f>SUM(I79:I80)</f>
        <v>0</v>
      </c>
      <c r="J78" s="113">
        <f>SUM(J79:J80)</f>
        <v>0</v>
      </c>
      <c r="K78" s="113">
        <f>SUM(K79:K80)</f>
        <v>0</v>
      </c>
      <c r="L78" s="113">
        <f>SUM(L79:L80)</f>
        <v>0</v>
      </c>
      <c r="M78" s="69">
        <f t="shared" si="19"/>
        <v>0</v>
      </c>
    </row>
    <row r="79" spans="1:13" ht="12.75" hidden="1" customHeight="1" outlineLevel="2" x14ac:dyDescent="0.2">
      <c r="A79" s="144" t="str">
        <f>"         "&amp;Labels!B170</f>
        <v xml:space="preserve">         Invest 1</v>
      </c>
      <c r="B79" s="116">
        <f>SUM(B71,B75)</f>
        <v>0</v>
      </c>
      <c r="C79" s="69">
        <f>SUM(B71,B75)</f>
        <v>0</v>
      </c>
      <c r="D79" s="116">
        <f t="shared" ref="D79:G81" si="20">SUM(D71,D75)</f>
        <v>0</v>
      </c>
      <c r="E79" s="116">
        <f t="shared" si="20"/>
        <v>0</v>
      </c>
      <c r="F79" s="116">
        <f t="shared" si="20"/>
        <v>0</v>
      </c>
      <c r="G79" s="116">
        <f t="shared" si="20"/>
        <v>0</v>
      </c>
      <c r="H79" s="69">
        <f t="shared" si="18"/>
        <v>0</v>
      </c>
      <c r="I79" s="116">
        <f t="shared" ref="I79:L81" si="21">SUM(I71,I75)</f>
        <v>0</v>
      </c>
      <c r="J79" s="116">
        <f t="shared" si="21"/>
        <v>0</v>
      </c>
      <c r="K79" s="116">
        <f t="shared" si="21"/>
        <v>0</v>
      </c>
      <c r="L79" s="116">
        <f t="shared" si="21"/>
        <v>0</v>
      </c>
      <c r="M79" s="69">
        <f t="shared" si="19"/>
        <v>0</v>
      </c>
    </row>
    <row r="80" spans="1:13" ht="12.75" hidden="1" customHeight="1" outlineLevel="2" x14ac:dyDescent="0.2">
      <c r="A80" s="144" t="str">
        <f>"         "&amp;Labels!B171</f>
        <v xml:space="preserve">         Invest 2</v>
      </c>
      <c r="B80" s="116">
        <f>SUM(B72,B76)</f>
        <v>0</v>
      </c>
      <c r="C80" s="69">
        <f>SUM(B72,B76)</f>
        <v>0</v>
      </c>
      <c r="D80" s="116">
        <f t="shared" si="20"/>
        <v>0</v>
      </c>
      <c r="E80" s="116">
        <f t="shared" si="20"/>
        <v>0</v>
      </c>
      <c r="F80" s="116">
        <f t="shared" si="20"/>
        <v>0</v>
      </c>
      <c r="G80" s="116">
        <f t="shared" si="20"/>
        <v>0</v>
      </c>
      <c r="H80" s="69">
        <f t="shared" si="18"/>
        <v>0</v>
      </c>
      <c r="I80" s="116">
        <f t="shared" si="21"/>
        <v>0</v>
      </c>
      <c r="J80" s="116">
        <f t="shared" si="21"/>
        <v>0</v>
      </c>
      <c r="K80" s="116">
        <f t="shared" si="21"/>
        <v>0</v>
      </c>
      <c r="L80" s="116">
        <f t="shared" si="21"/>
        <v>0</v>
      </c>
      <c r="M80" s="69">
        <f t="shared" si="19"/>
        <v>0</v>
      </c>
    </row>
    <row r="81" spans="1:13" ht="12.75" hidden="1" customHeight="1" outlineLevel="2" x14ac:dyDescent="0.2">
      <c r="A81" s="144" t="str">
        <f>"         "&amp;Labels!C169</f>
        <v xml:space="preserve">         Total</v>
      </c>
      <c r="B81" s="159">
        <f>SUM(B73,B77)</f>
        <v>0</v>
      </c>
      <c r="C81" s="69">
        <f>SUM(B73,B77)</f>
        <v>0</v>
      </c>
      <c r="D81" s="159">
        <f t="shared" si="20"/>
        <v>0</v>
      </c>
      <c r="E81" s="159">
        <f t="shared" si="20"/>
        <v>0</v>
      </c>
      <c r="F81" s="159">
        <f t="shared" si="20"/>
        <v>0</v>
      </c>
      <c r="G81" s="159">
        <f t="shared" si="20"/>
        <v>0</v>
      </c>
      <c r="H81" s="69">
        <f>SUM(D78:G78)</f>
        <v>0</v>
      </c>
      <c r="I81" s="159">
        <f t="shared" si="21"/>
        <v>0</v>
      </c>
      <c r="J81" s="159">
        <f t="shared" si="21"/>
        <v>0</v>
      </c>
      <c r="K81" s="159">
        <f t="shared" si="21"/>
        <v>0</v>
      </c>
      <c r="L81" s="159">
        <f t="shared" si="21"/>
        <v>0</v>
      </c>
      <c r="M81" s="69">
        <f>SUM(I78:L78)</f>
        <v>0</v>
      </c>
    </row>
    <row r="82" spans="1:13" ht="12.75" hidden="1" customHeight="1" outlineLevel="2" x14ac:dyDescent="0.2">
      <c r="A82" s="114" t="str">
        <f>"   "&amp;Labels!B183</f>
        <v xml:space="preserve">   Canoes</v>
      </c>
      <c r="B82" s="113"/>
      <c r="C82" s="69"/>
      <c r="D82" s="113"/>
      <c r="E82" s="113"/>
      <c r="F82" s="113"/>
      <c r="G82" s="113"/>
      <c r="H82" s="69"/>
      <c r="I82" s="113"/>
      <c r="J82" s="113"/>
      <c r="K82" s="113"/>
      <c r="L82" s="113"/>
      <c r="M82" s="69"/>
    </row>
    <row r="83" spans="1:13" ht="12.75" hidden="1" customHeight="1" outlineLevel="2" x14ac:dyDescent="0.2">
      <c r="A83" s="144" t="str">
        <f>"      "&amp;Labels!B166</f>
        <v xml:space="preserve">      Depreciable</v>
      </c>
      <c r="B83" s="159"/>
      <c r="C83" s="69"/>
      <c r="D83" s="159"/>
      <c r="E83" s="159"/>
      <c r="F83" s="159"/>
      <c r="G83" s="159"/>
      <c r="H83" s="69"/>
      <c r="I83" s="159"/>
      <c r="J83" s="159"/>
      <c r="K83" s="159"/>
      <c r="L83" s="159"/>
      <c r="M83" s="69"/>
    </row>
    <row r="84" spans="1:13" ht="12.75" hidden="1" customHeight="1" outlineLevel="2" x14ac:dyDescent="0.2">
      <c r="A84" s="144" t="str">
        <f>"         "&amp;Labels!B170</f>
        <v xml:space="preserve">         Invest 1</v>
      </c>
      <c r="B84" s="116">
        <f>IF(AND('(FnCalls 1)'!A6-Inputs!F19&lt;=0,Inputs!F19-('(FnCalls 1)'!A7-1)&lt;=0),(-Inputs!E26)*E277,0*E277)+IF(AND(INDEX('(Ranges)'!A13:J13,,MAX(1,'Plot Support'!B41-'(Tables)'!C184))-Inputs!F19&lt;=0,Inputs!F19-INDEX('(Ranges)'!A14:J14,,MAX(1,'Plot Support'!B41-'(Tables)'!C184))&lt;=0),Inputs!F26*E277,0*E277)+IF(AND('(FnCalls 1)'!A6-Inputs!F19&lt;=0,Inputs!F19-('(FnCalls 1)'!A7-1)&lt;=0),(-Inputs!E26)*E278,0*E278)+IF(AND(INDEX('(Ranges)'!A13:J13,,MAX(1,'Plot Support'!B41-'(Tables)'!C184))-Inputs!F19&lt;=0,Inputs!F19-INDEX('(Ranges)'!A14:J14,,MAX(1,'Plot Support'!B41-'(Tables)'!C184))&lt;=0),Inputs!F26*E278,0*E278)</f>
        <v>0</v>
      </c>
      <c r="C84" s="69">
        <f>B84</f>
        <v>0</v>
      </c>
      <c r="D84" s="116">
        <f>IF(AND('(FnCalls 1)'!A7-Inputs!F19&lt;=0,Inputs!F19-('(FnCalls 1)'!A8-1)&lt;=0),(-Inputs!E26)*E277,0*E277)+IF(AND(INDEX('(Ranges)'!A13:J13,,MAX(1,'Plot Support'!B43-'(Tables)'!C184))-Inputs!F19&lt;=0,Inputs!F19-INDEX('(Ranges)'!A14:J14,,MAX(1,'Plot Support'!B43-'(Tables)'!C184))&lt;=0),Inputs!F26*E277,0*E277)+IF(AND('(FnCalls 1)'!A7-Inputs!F19&lt;=0,Inputs!F19-('(FnCalls 1)'!A8-1)&lt;=0),(-Inputs!E26)*E278,0*E278)+IF(AND(INDEX('(Ranges)'!A13:J13,,MAX(1,'Plot Support'!B43-'(Tables)'!C184))-Inputs!F19&lt;=0,Inputs!F19-INDEX('(Ranges)'!A14:J14,,MAX(1,'Plot Support'!B43-'(Tables)'!C184))&lt;=0),Inputs!F26*E278,0*E278)</f>
        <v>0</v>
      </c>
      <c r="E84" s="116">
        <f>IF(AND('(FnCalls 1)'!A8-Inputs!F19&lt;=0,Inputs!F19-('(FnCalls 1)'!A9-1)&lt;=0),(-Inputs!E26)*E277,0*E277)+IF(AND(INDEX('(Ranges)'!A13:J13,,MAX(1,'Plot Support'!B44-'(Tables)'!C184))-Inputs!F19&lt;=0,Inputs!F19-INDEX('(Ranges)'!A14:J14,,MAX(1,'Plot Support'!B44-'(Tables)'!C184))&lt;=0),Inputs!F26*E277,0*E277)+IF(AND('(FnCalls 1)'!A8-Inputs!F19&lt;=0,Inputs!F19-('(FnCalls 1)'!A9-1)&lt;=0),(-Inputs!E26)*E278,0*E278)+IF(AND(INDEX('(Ranges)'!A13:J13,,MAX(1,'Plot Support'!B44-'(Tables)'!C184))-Inputs!F19&lt;=0,Inputs!F19-INDEX('(Ranges)'!A14:J14,,MAX(1,'Plot Support'!B44-'(Tables)'!C184))&lt;=0),Inputs!F26*E278,0*E278)</f>
        <v>0</v>
      </c>
      <c r="F84" s="116">
        <f>IF(AND('(FnCalls 1)'!A9-Inputs!F19&lt;=0,Inputs!F19-('(FnCalls 1)'!A10-1)&lt;=0),(-Inputs!E26)*E277,0*E277)+IF(AND(INDEX('(Ranges)'!A13:J13,,MAX(1,'Plot Support'!B45-'(Tables)'!C184))-Inputs!F19&lt;=0,Inputs!F19-INDEX('(Ranges)'!A14:J14,,MAX(1,'Plot Support'!B45-'(Tables)'!C184))&lt;=0),Inputs!F26*E277,0*E277)+IF(AND('(FnCalls 1)'!A9-Inputs!F19&lt;=0,Inputs!F19-('(FnCalls 1)'!A10-1)&lt;=0),(-Inputs!E26)*E278,0*E278)+IF(AND(INDEX('(Ranges)'!A13:J13,,MAX(1,'Plot Support'!B45-'(Tables)'!C184))-Inputs!F19&lt;=0,Inputs!F19-INDEX('(Ranges)'!A14:J14,,MAX(1,'Plot Support'!B45-'(Tables)'!C184))&lt;=0),Inputs!F26*E278,0*E278)</f>
        <v>0</v>
      </c>
      <c r="G84" s="116">
        <f>IF(AND('(FnCalls 1)'!A10-Inputs!F19&lt;=0,Inputs!F19-('(FnCalls 1)'!A11-1)&lt;=0),(-Inputs!E26)*E277,0*E277)+IF(AND(INDEX('(Ranges)'!A13:J13,,MAX(1,'Plot Support'!B46-'(Tables)'!C184))-Inputs!F19&lt;=0,Inputs!F19-INDEX('(Ranges)'!A14:J14,,MAX(1,'Plot Support'!B46-'(Tables)'!C184))&lt;=0),Inputs!F26*E277,0*E277)+IF(AND('(FnCalls 1)'!A10-Inputs!F19&lt;=0,Inputs!F19-('(FnCalls 1)'!A11-1)&lt;=0),(-Inputs!E26)*E278,0*E278)+IF(AND(INDEX('(Ranges)'!A13:J13,,MAX(1,'Plot Support'!B46-'(Tables)'!C184))-Inputs!F19&lt;=0,Inputs!F19-INDEX('(Ranges)'!A14:J14,,MAX(1,'Plot Support'!B46-'(Tables)'!C184))&lt;=0),Inputs!F26*E278,0*E278)</f>
        <v>0</v>
      </c>
      <c r="H84" s="69">
        <f>SUM(D84:G84)</f>
        <v>0</v>
      </c>
      <c r="I84" s="116">
        <f>IF(AND('(FnCalls 1)'!A11-Inputs!F19&lt;=0,Inputs!F19-('(FnCalls 1)'!A12-1)&lt;=0),(-Inputs!E26)*E277,0*E277)+IF(AND(INDEX('(Ranges)'!A13:J13,,MAX(1,'Plot Support'!B48-'(Tables)'!C184))-Inputs!F19&lt;=0,Inputs!F19-INDEX('(Ranges)'!A14:J14,,MAX(1,'Plot Support'!B48-'(Tables)'!C184))&lt;=0),Inputs!F26*E277,0*E277)+IF(AND('(FnCalls 1)'!A11-Inputs!F19&lt;=0,Inputs!F19-('(FnCalls 1)'!A12-1)&lt;=0),(-Inputs!E26)*E278,0*E278)+IF(AND(INDEX('(Ranges)'!A13:J13,,MAX(1,'Plot Support'!B48-'(Tables)'!C184))-Inputs!F19&lt;=0,Inputs!F19-INDEX('(Ranges)'!A14:J14,,MAX(1,'Plot Support'!B48-'(Tables)'!C184))&lt;=0),Inputs!F26*E278,0*E278)</f>
        <v>0</v>
      </c>
      <c r="J84" s="116">
        <f>IF(AND('(FnCalls 1)'!A12-Inputs!F19&lt;=0,Inputs!F19-('(FnCalls 1)'!A13-1)&lt;=0),(-Inputs!E26)*E277,0*E277)+IF(AND(INDEX('(Ranges)'!A13:J13,,MAX(1,'Plot Support'!B49-'(Tables)'!C184))-Inputs!F19&lt;=0,Inputs!F19-INDEX('(Ranges)'!A14:J14,,MAX(1,'Plot Support'!B49-'(Tables)'!C184))&lt;=0),Inputs!F26*E277,0*E277)+IF(AND('(FnCalls 1)'!A12-Inputs!F19&lt;=0,Inputs!F19-('(FnCalls 1)'!A13-1)&lt;=0),(-Inputs!E26)*E278,0*E278)+IF(AND(INDEX('(Ranges)'!A13:J13,,MAX(1,'Plot Support'!B49-'(Tables)'!C184))-Inputs!F19&lt;=0,Inputs!F19-INDEX('(Ranges)'!A14:J14,,MAX(1,'Plot Support'!B49-'(Tables)'!C184))&lt;=0),Inputs!F26*E278,0*E278)</f>
        <v>0</v>
      </c>
      <c r="K84" s="116">
        <f>IF(AND('(FnCalls 1)'!A13-Inputs!F19&lt;=0,Inputs!F19-('(FnCalls 1)'!A14-1)&lt;=0),(-Inputs!E26)*E277,0*E277)+IF(AND(INDEX('(Ranges)'!A13:J13,,MAX(1,'Plot Support'!B50-'(Tables)'!C184))-Inputs!F19&lt;=0,Inputs!F19-INDEX('(Ranges)'!A14:J14,,MAX(1,'Plot Support'!B50-'(Tables)'!C184))&lt;=0),Inputs!F26*E277,0*E277)+IF(AND('(FnCalls 1)'!A13-Inputs!F19&lt;=0,Inputs!F19-('(FnCalls 1)'!A14-1)&lt;=0),(-Inputs!E26)*E278,0*E278)+IF(AND(INDEX('(Ranges)'!A13:J13,,MAX(1,'Plot Support'!B50-'(Tables)'!C184))-Inputs!F19&lt;=0,Inputs!F19-INDEX('(Ranges)'!A14:J14,,MAX(1,'Plot Support'!B50-'(Tables)'!C184))&lt;=0),Inputs!F26*E278,0*E278)</f>
        <v>0</v>
      </c>
      <c r="L84" s="116">
        <f>IF(AND('(FnCalls 1)'!A14-Inputs!F19&lt;=0,Inputs!F19-('(FnCalls 1)'!A15-1)&lt;=0),(-Inputs!E26)*E277,0*E277)+IF(AND(INDEX('(Ranges)'!A13:J13,,MAX(1,'Plot Support'!B51-'(Tables)'!C184))-Inputs!F19&lt;=0,Inputs!F19-INDEX('(Ranges)'!A14:J14,,MAX(1,'Plot Support'!B51-'(Tables)'!C184))&lt;=0),Inputs!F26*E277,0*E277)+IF(AND('(FnCalls 1)'!A14-Inputs!F19&lt;=0,Inputs!F19-('(FnCalls 1)'!A15-1)&lt;=0),(-Inputs!E26)*E278,0*E278)+IF(AND(INDEX('(Ranges)'!A13:J13,,MAX(1,'Plot Support'!B51-'(Tables)'!C184))-Inputs!F19&lt;=0,Inputs!F19-INDEX('(Ranges)'!A14:J14,,MAX(1,'Plot Support'!B51-'(Tables)'!C184))&lt;=0),Inputs!F26*E278,0*E278)</f>
        <v>0</v>
      </c>
      <c r="M84" s="69">
        <f>SUM(I84:L84)</f>
        <v>0</v>
      </c>
    </row>
    <row r="85" spans="1:13" ht="12.75" hidden="1" customHeight="1" outlineLevel="2" x14ac:dyDescent="0.2">
      <c r="A85" s="144" t="str">
        <f>"         "&amp;Labels!B171</f>
        <v xml:space="preserve">         Invest 2</v>
      </c>
      <c r="B85" s="116">
        <f>IF(AND('(FnCalls 1)'!A6-Inputs!F20&lt;=0,Inputs!F20-('(FnCalls 1)'!A7-1)&lt;=0),(-Inputs!E27)*F277,0*F277)+IF(AND(INDEX('(Ranges)'!A13:J13,,MAX(1,'Plot Support'!B41-'(Tables)'!C185))-Inputs!F20&lt;=0,Inputs!F20-INDEX('(Ranges)'!A14:J14,,MAX(1,'Plot Support'!B41-'(Tables)'!C185))&lt;=0),Inputs!F27*F277,0*F277)+IF(AND('(FnCalls 1)'!A6-Inputs!F20&lt;=0,Inputs!F20-('(FnCalls 1)'!A7-1)&lt;=0),(-Inputs!E27)*F278,0*F278)+IF(AND(INDEX('(Ranges)'!A13:J13,,MAX(1,'Plot Support'!B41-'(Tables)'!C185))-Inputs!F20&lt;=0,Inputs!F20-INDEX('(Ranges)'!A14:J14,,MAX(1,'Plot Support'!B41-'(Tables)'!C185))&lt;=0),Inputs!F27*F278,0*F278)</f>
        <v>0</v>
      </c>
      <c r="C85" s="69">
        <f>B85</f>
        <v>0</v>
      </c>
      <c r="D85" s="116">
        <f>IF(AND('(FnCalls 1)'!A7-Inputs!F20&lt;=0,Inputs!F20-('(FnCalls 1)'!A8-1)&lt;=0),(-Inputs!E27)*F277,0*F277)+IF(AND(INDEX('(Ranges)'!A13:J13,,MAX(1,'Plot Support'!B43-'(Tables)'!C185))-Inputs!F20&lt;=0,Inputs!F20-INDEX('(Ranges)'!A14:J14,,MAX(1,'Plot Support'!B43-'(Tables)'!C185))&lt;=0),Inputs!F27*F277,0*F277)+IF(AND('(FnCalls 1)'!A7-Inputs!F20&lt;=0,Inputs!F20-('(FnCalls 1)'!A8-1)&lt;=0),(-Inputs!E27)*F278,0*F278)+IF(AND(INDEX('(Ranges)'!A13:J13,,MAX(1,'Plot Support'!B43-'(Tables)'!C185))-Inputs!F20&lt;=0,Inputs!F20-INDEX('(Ranges)'!A14:J14,,MAX(1,'Plot Support'!B43-'(Tables)'!C185))&lt;=0),Inputs!F27*F278,0*F278)</f>
        <v>0</v>
      </c>
      <c r="E85" s="116">
        <f>IF(AND('(FnCalls 1)'!A8-Inputs!F20&lt;=0,Inputs!F20-('(FnCalls 1)'!A9-1)&lt;=0),(-Inputs!E27)*F277,0*F277)+IF(AND(INDEX('(Ranges)'!A13:J13,,MAX(1,'Plot Support'!B44-'(Tables)'!C185))-Inputs!F20&lt;=0,Inputs!F20-INDEX('(Ranges)'!A14:J14,,MAX(1,'Plot Support'!B44-'(Tables)'!C185))&lt;=0),Inputs!F27*F277,0*F277)+IF(AND('(FnCalls 1)'!A8-Inputs!F20&lt;=0,Inputs!F20-('(FnCalls 1)'!A9-1)&lt;=0),(-Inputs!E27)*F278,0*F278)+IF(AND(INDEX('(Ranges)'!A13:J13,,MAX(1,'Plot Support'!B44-'(Tables)'!C185))-Inputs!F20&lt;=0,Inputs!F20-INDEX('(Ranges)'!A14:J14,,MAX(1,'Plot Support'!B44-'(Tables)'!C185))&lt;=0),Inputs!F27*F278,0*F278)</f>
        <v>0</v>
      </c>
      <c r="F85" s="116">
        <f>IF(AND('(FnCalls 1)'!A9-Inputs!F20&lt;=0,Inputs!F20-('(FnCalls 1)'!A10-1)&lt;=0),(-Inputs!E27)*F277,0*F277)+IF(AND(INDEX('(Ranges)'!A13:J13,,MAX(1,'Plot Support'!B45-'(Tables)'!C185))-Inputs!F20&lt;=0,Inputs!F20-INDEX('(Ranges)'!A14:J14,,MAX(1,'Plot Support'!B45-'(Tables)'!C185))&lt;=0),Inputs!F27*F277,0*F277)+IF(AND('(FnCalls 1)'!A9-Inputs!F20&lt;=0,Inputs!F20-('(FnCalls 1)'!A10-1)&lt;=0),(-Inputs!E27)*F278,0*F278)+IF(AND(INDEX('(Ranges)'!A13:J13,,MAX(1,'Plot Support'!B45-'(Tables)'!C185))-Inputs!F20&lt;=0,Inputs!F20-INDEX('(Ranges)'!A14:J14,,MAX(1,'Plot Support'!B45-'(Tables)'!C185))&lt;=0),Inputs!F27*F278,0*F278)</f>
        <v>0</v>
      </c>
      <c r="G85" s="116">
        <f>IF(AND('(FnCalls 1)'!A10-Inputs!F20&lt;=0,Inputs!F20-('(FnCalls 1)'!A11-1)&lt;=0),(-Inputs!E27)*F277,0*F277)+IF(AND(INDEX('(Ranges)'!A13:J13,,MAX(1,'Plot Support'!B46-'(Tables)'!C185))-Inputs!F20&lt;=0,Inputs!F20-INDEX('(Ranges)'!A14:J14,,MAX(1,'Plot Support'!B46-'(Tables)'!C185))&lt;=0),Inputs!F27*F277,0*F277)+IF(AND('(FnCalls 1)'!A10-Inputs!F20&lt;=0,Inputs!F20-('(FnCalls 1)'!A11-1)&lt;=0),(-Inputs!E27)*F278,0*F278)+IF(AND(INDEX('(Ranges)'!A13:J13,,MAX(1,'Plot Support'!B46-'(Tables)'!C185))-Inputs!F20&lt;=0,Inputs!F20-INDEX('(Ranges)'!A14:J14,,MAX(1,'Plot Support'!B46-'(Tables)'!C185))&lt;=0),Inputs!F27*F278,0*F278)</f>
        <v>0</v>
      </c>
      <c r="H85" s="69">
        <f>SUM(D85:G85)</f>
        <v>0</v>
      </c>
      <c r="I85" s="116">
        <f>IF(AND('(FnCalls 1)'!A11-Inputs!F20&lt;=0,Inputs!F20-('(FnCalls 1)'!A12-1)&lt;=0),(-Inputs!E27)*F277,0*F277)+IF(AND(INDEX('(Ranges)'!A13:J13,,MAX(1,'Plot Support'!B48-'(Tables)'!C185))-Inputs!F20&lt;=0,Inputs!F20-INDEX('(Ranges)'!A14:J14,,MAX(1,'Plot Support'!B48-'(Tables)'!C185))&lt;=0),Inputs!F27*F277,0*F277)+IF(AND('(FnCalls 1)'!A11-Inputs!F20&lt;=0,Inputs!F20-('(FnCalls 1)'!A12-1)&lt;=0),(-Inputs!E27)*F278,0*F278)+IF(AND(INDEX('(Ranges)'!A13:J13,,MAX(1,'Plot Support'!B48-'(Tables)'!C185))-Inputs!F20&lt;=0,Inputs!F20-INDEX('(Ranges)'!A14:J14,,MAX(1,'Plot Support'!B48-'(Tables)'!C185))&lt;=0),Inputs!F27*F278,0*F278)</f>
        <v>0</v>
      </c>
      <c r="J85" s="116">
        <f>IF(AND('(FnCalls 1)'!A12-Inputs!F20&lt;=0,Inputs!F20-('(FnCalls 1)'!A13-1)&lt;=0),(-Inputs!E27)*F277,0*F277)+IF(AND(INDEX('(Ranges)'!A13:J13,,MAX(1,'Plot Support'!B49-'(Tables)'!C185))-Inputs!F20&lt;=0,Inputs!F20-INDEX('(Ranges)'!A14:J14,,MAX(1,'Plot Support'!B49-'(Tables)'!C185))&lt;=0),Inputs!F27*F277,0*F277)+IF(AND('(FnCalls 1)'!A12-Inputs!F20&lt;=0,Inputs!F20-('(FnCalls 1)'!A13-1)&lt;=0),(-Inputs!E27)*F278,0*F278)+IF(AND(INDEX('(Ranges)'!A13:J13,,MAX(1,'Plot Support'!B49-'(Tables)'!C185))-Inputs!F20&lt;=0,Inputs!F20-INDEX('(Ranges)'!A14:J14,,MAX(1,'Plot Support'!B49-'(Tables)'!C185))&lt;=0),Inputs!F27*F278,0*F278)</f>
        <v>0</v>
      </c>
      <c r="K85" s="116">
        <f>IF(AND('(FnCalls 1)'!A13-Inputs!F20&lt;=0,Inputs!F20-('(FnCalls 1)'!A14-1)&lt;=0),(-Inputs!E27)*F277,0*F277)+IF(AND(INDEX('(Ranges)'!A13:J13,,MAX(1,'Plot Support'!B50-'(Tables)'!C185))-Inputs!F20&lt;=0,Inputs!F20-INDEX('(Ranges)'!A14:J14,,MAX(1,'Plot Support'!B50-'(Tables)'!C185))&lt;=0),Inputs!F27*F277,0*F277)+IF(AND('(FnCalls 1)'!A13-Inputs!F20&lt;=0,Inputs!F20-('(FnCalls 1)'!A14-1)&lt;=0),(-Inputs!E27)*F278,0*F278)+IF(AND(INDEX('(Ranges)'!A13:J13,,MAX(1,'Plot Support'!B50-'(Tables)'!C185))-Inputs!F20&lt;=0,Inputs!F20-INDEX('(Ranges)'!A14:J14,,MAX(1,'Plot Support'!B50-'(Tables)'!C185))&lt;=0),Inputs!F27*F278,0*F278)</f>
        <v>0</v>
      </c>
      <c r="L85" s="116">
        <f>IF(AND('(FnCalls 1)'!A14-Inputs!F20&lt;=0,Inputs!F20-('(FnCalls 1)'!A15-1)&lt;=0),(-Inputs!E27)*F277,0*F277)+IF(AND(INDEX('(Ranges)'!A13:J13,,MAX(1,'Plot Support'!B51-'(Tables)'!C185))-Inputs!F20&lt;=0,Inputs!F20-INDEX('(Ranges)'!A14:J14,,MAX(1,'Plot Support'!B51-'(Tables)'!C185))&lt;=0),Inputs!F27*F277,0*F277)+IF(AND('(FnCalls 1)'!A14-Inputs!F20&lt;=0,Inputs!F20-('(FnCalls 1)'!A15-1)&lt;=0),(-Inputs!E27)*F278,0*F278)+IF(AND(INDEX('(Ranges)'!A13:J13,,MAX(1,'Plot Support'!B51-'(Tables)'!C185))-Inputs!F20&lt;=0,Inputs!F20-INDEX('(Ranges)'!A14:J14,,MAX(1,'Plot Support'!B51-'(Tables)'!C185))&lt;=0),Inputs!F27*F278,0*F278)</f>
        <v>0</v>
      </c>
      <c r="M85" s="69">
        <f>SUM(I85:L85)</f>
        <v>0</v>
      </c>
    </row>
    <row r="86" spans="1:13" ht="12.75" hidden="1" customHeight="1" outlineLevel="2" x14ac:dyDescent="0.2">
      <c r="A86" s="144" t="str">
        <f>"         "&amp;Labels!C169</f>
        <v xml:space="preserve">         Total</v>
      </c>
      <c r="B86" s="159">
        <f>SUM(B84:B85)</f>
        <v>0</v>
      </c>
      <c r="C86" s="69">
        <f>SUM(B84:B85)</f>
        <v>0</v>
      </c>
      <c r="D86" s="159">
        <f>SUM(D84:D85)</f>
        <v>0</v>
      </c>
      <c r="E86" s="159">
        <f>SUM(E84:E85)</f>
        <v>0</v>
      </c>
      <c r="F86" s="159">
        <f>SUM(F84:F85)</f>
        <v>0</v>
      </c>
      <c r="G86" s="159">
        <f>SUM(G84:G85)</f>
        <v>0</v>
      </c>
      <c r="H86" s="69">
        <f>SUM(D86:G86)</f>
        <v>0</v>
      </c>
      <c r="I86" s="159">
        <f>SUM(I84:I85)</f>
        <v>0</v>
      </c>
      <c r="J86" s="159">
        <f>SUM(J84:J85)</f>
        <v>0</v>
      </c>
      <c r="K86" s="159">
        <f>SUM(K84:K85)</f>
        <v>0</v>
      </c>
      <c r="L86" s="159">
        <f>SUM(L84:L85)</f>
        <v>0</v>
      </c>
      <c r="M86" s="69">
        <f>SUM(I86:L86)</f>
        <v>0</v>
      </c>
    </row>
    <row r="87" spans="1:13" ht="12.75" hidden="1" customHeight="1" outlineLevel="2" x14ac:dyDescent="0.2">
      <c r="A87" s="144" t="str">
        <f>"      "&amp;Labels!B167</f>
        <v xml:space="preserve">      Non-Deprec</v>
      </c>
      <c r="B87" s="159"/>
      <c r="C87" s="69"/>
      <c r="D87" s="159"/>
      <c r="E87" s="159"/>
      <c r="F87" s="159"/>
      <c r="G87" s="159"/>
      <c r="H87" s="69"/>
      <c r="I87" s="159"/>
      <c r="J87" s="159"/>
      <c r="K87" s="159"/>
      <c r="L87" s="159"/>
      <c r="M87" s="69"/>
    </row>
    <row r="88" spans="1:13" ht="12.75" hidden="1" customHeight="1" outlineLevel="2" x14ac:dyDescent="0.2">
      <c r="A88" s="144" t="str">
        <f>"         "&amp;Labels!B170</f>
        <v xml:space="preserve">         Invest 1</v>
      </c>
      <c r="B88" s="116">
        <f>IF(AND('(FnCalls 1)'!A6-Inputs!F19&lt;=0,Inputs!F19-('(FnCalls 1)'!A7-1)&lt;=0),(-Inputs!E30)*E277,0*E277)+IF(AND(INDEX('(Ranges)'!A13:J13,,MAX(1,'Plot Support'!B41-'(Tables)'!C184))-Inputs!F19&lt;=0,Inputs!F19-INDEX('(Ranges)'!A14:J14,,MAX(1,'Plot Support'!B41-'(Tables)'!C184))&lt;=0),Inputs!F30*E277,0*E277)+IF(AND('(FnCalls 1)'!A6-Inputs!F19&lt;=0,Inputs!F19-('(FnCalls 1)'!A7-1)&lt;=0),(-Inputs!E30)*E278,0*E278)+IF(AND(INDEX('(Ranges)'!A13:J13,,MAX(1,'Plot Support'!B41-'(Tables)'!C184))-Inputs!F19&lt;=0,Inputs!F19-INDEX('(Ranges)'!A14:J14,,MAX(1,'Plot Support'!B41-'(Tables)'!C184))&lt;=0),Inputs!F30*E278,0*E278)</f>
        <v>0</v>
      </c>
      <c r="C88" s="69">
        <f>B88</f>
        <v>0</v>
      </c>
      <c r="D88" s="116">
        <f>IF(AND('(FnCalls 1)'!A7-Inputs!F19&lt;=0,Inputs!F19-('(FnCalls 1)'!A8-1)&lt;=0),(-Inputs!E30)*E277,0*E277)+IF(AND(INDEX('(Ranges)'!A13:J13,,MAX(1,'Plot Support'!B43-'(Tables)'!C184))-Inputs!F19&lt;=0,Inputs!F19-INDEX('(Ranges)'!A14:J14,,MAX(1,'Plot Support'!B43-'(Tables)'!C184))&lt;=0),Inputs!F30*E277,0*E277)+IF(AND('(FnCalls 1)'!A7-Inputs!F19&lt;=0,Inputs!F19-('(FnCalls 1)'!A8-1)&lt;=0),(-Inputs!E30)*E278,0*E278)+IF(AND(INDEX('(Ranges)'!A13:J13,,MAX(1,'Plot Support'!B43-'(Tables)'!C184))-Inputs!F19&lt;=0,Inputs!F19-INDEX('(Ranges)'!A14:J14,,MAX(1,'Plot Support'!B43-'(Tables)'!C184))&lt;=0),Inputs!F30*E278,0*E278)</f>
        <v>0</v>
      </c>
      <c r="E88" s="116">
        <f>IF(AND('(FnCalls 1)'!A8-Inputs!F19&lt;=0,Inputs!F19-('(FnCalls 1)'!A9-1)&lt;=0),(-Inputs!E30)*E277,0*E277)+IF(AND(INDEX('(Ranges)'!A13:J13,,MAX(1,'Plot Support'!B44-'(Tables)'!C184))-Inputs!F19&lt;=0,Inputs!F19-INDEX('(Ranges)'!A14:J14,,MAX(1,'Plot Support'!B44-'(Tables)'!C184))&lt;=0),Inputs!F30*E277,0*E277)+IF(AND('(FnCalls 1)'!A8-Inputs!F19&lt;=0,Inputs!F19-('(FnCalls 1)'!A9-1)&lt;=0),(-Inputs!E30)*E278,0*E278)+IF(AND(INDEX('(Ranges)'!A13:J13,,MAX(1,'Plot Support'!B44-'(Tables)'!C184))-Inputs!F19&lt;=0,Inputs!F19-INDEX('(Ranges)'!A14:J14,,MAX(1,'Plot Support'!B44-'(Tables)'!C184))&lt;=0),Inputs!F30*E278,0*E278)</f>
        <v>0</v>
      </c>
      <c r="F88" s="116">
        <f>IF(AND('(FnCalls 1)'!A9-Inputs!F19&lt;=0,Inputs!F19-('(FnCalls 1)'!A10-1)&lt;=0),(-Inputs!E30)*E277,0*E277)+IF(AND(INDEX('(Ranges)'!A13:J13,,MAX(1,'Plot Support'!B45-'(Tables)'!C184))-Inputs!F19&lt;=0,Inputs!F19-INDEX('(Ranges)'!A14:J14,,MAX(1,'Plot Support'!B45-'(Tables)'!C184))&lt;=0),Inputs!F30*E277,0*E277)+IF(AND('(FnCalls 1)'!A9-Inputs!F19&lt;=0,Inputs!F19-('(FnCalls 1)'!A10-1)&lt;=0),(-Inputs!E30)*E278,0*E278)+IF(AND(INDEX('(Ranges)'!A13:J13,,MAX(1,'Plot Support'!B45-'(Tables)'!C184))-Inputs!F19&lt;=0,Inputs!F19-INDEX('(Ranges)'!A14:J14,,MAX(1,'Plot Support'!B45-'(Tables)'!C184))&lt;=0),Inputs!F30*E278,0*E278)</f>
        <v>0</v>
      </c>
      <c r="G88" s="116">
        <f>IF(AND('(FnCalls 1)'!A10-Inputs!F19&lt;=0,Inputs!F19-('(FnCalls 1)'!A11-1)&lt;=0),(-Inputs!E30)*E277,0*E277)+IF(AND(INDEX('(Ranges)'!A13:J13,,MAX(1,'Plot Support'!B46-'(Tables)'!C184))-Inputs!F19&lt;=0,Inputs!F19-INDEX('(Ranges)'!A14:J14,,MAX(1,'Plot Support'!B46-'(Tables)'!C184))&lt;=0),Inputs!F30*E277,0*E277)+IF(AND('(FnCalls 1)'!A10-Inputs!F19&lt;=0,Inputs!F19-('(FnCalls 1)'!A11-1)&lt;=0),(-Inputs!E30)*E278,0*E278)+IF(AND(INDEX('(Ranges)'!A13:J13,,MAX(1,'Plot Support'!B46-'(Tables)'!C184))-Inputs!F19&lt;=0,Inputs!F19-INDEX('(Ranges)'!A14:J14,,MAX(1,'Plot Support'!B46-'(Tables)'!C184))&lt;=0),Inputs!F30*E278,0*E278)</f>
        <v>0</v>
      </c>
      <c r="H88" s="69">
        <f t="shared" ref="H88:H93" si="22">SUM(D88:G88)</f>
        <v>0</v>
      </c>
      <c r="I88" s="116">
        <f>IF(AND('(FnCalls 1)'!A11-Inputs!F19&lt;=0,Inputs!F19-('(FnCalls 1)'!A12-1)&lt;=0),(-Inputs!E30)*E277,0*E277)+IF(AND(INDEX('(Ranges)'!A13:J13,,MAX(1,'Plot Support'!B48-'(Tables)'!C184))-Inputs!F19&lt;=0,Inputs!F19-INDEX('(Ranges)'!A14:J14,,MAX(1,'Plot Support'!B48-'(Tables)'!C184))&lt;=0),Inputs!F30*E277,0*E277)+IF(AND('(FnCalls 1)'!A11-Inputs!F19&lt;=0,Inputs!F19-('(FnCalls 1)'!A12-1)&lt;=0),(-Inputs!E30)*E278,0*E278)+IF(AND(INDEX('(Ranges)'!A13:J13,,MAX(1,'Plot Support'!B48-'(Tables)'!C184))-Inputs!F19&lt;=0,Inputs!F19-INDEX('(Ranges)'!A14:J14,,MAX(1,'Plot Support'!B48-'(Tables)'!C184))&lt;=0),Inputs!F30*E278,0*E278)</f>
        <v>0</v>
      </c>
      <c r="J88" s="116">
        <f>IF(AND('(FnCalls 1)'!A12-Inputs!F19&lt;=0,Inputs!F19-('(FnCalls 1)'!A13-1)&lt;=0),(-Inputs!E30)*E277,0*E277)+IF(AND(INDEX('(Ranges)'!A13:J13,,MAX(1,'Plot Support'!B49-'(Tables)'!C184))-Inputs!F19&lt;=0,Inputs!F19-INDEX('(Ranges)'!A14:J14,,MAX(1,'Plot Support'!B49-'(Tables)'!C184))&lt;=0),Inputs!F30*E277,0*E277)+IF(AND('(FnCalls 1)'!A12-Inputs!F19&lt;=0,Inputs!F19-('(FnCalls 1)'!A13-1)&lt;=0),(-Inputs!E30)*E278,0*E278)+IF(AND(INDEX('(Ranges)'!A13:J13,,MAX(1,'Plot Support'!B49-'(Tables)'!C184))-Inputs!F19&lt;=0,Inputs!F19-INDEX('(Ranges)'!A14:J14,,MAX(1,'Plot Support'!B49-'(Tables)'!C184))&lt;=0),Inputs!F30*E278,0*E278)</f>
        <v>0</v>
      </c>
      <c r="K88" s="116">
        <f>IF(AND('(FnCalls 1)'!A13-Inputs!F19&lt;=0,Inputs!F19-('(FnCalls 1)'!A14-1)&lt;=0),(-Inputs!E30)*E277,0*E277)+IF(AND(INDEX('(Ranges)'!A13:J13,,MAX(1,'Plot Support'!B50-'(Tables)'!C184))-Inputs!F19&lt;=0,Inputs!F19-INDEX('(Ranges)'!A14:J14,,MAX(1,'Plot Support'!B50-'(Tables)'!C184))&lt;=0),Inputs!F30*E277,0*E277)+IF(AND('(FnCalls 1)'!A13-Inputs!F19&lt;=0,Inputs!F19-('(FnCalls 1)'!A14-1)&lt;=0),(-Inputs!E30)*E278,0*E278)+IF(AND(INDEX('(Ranges)'!A13:J13,,MAX(1,'Plot Support'!B50-'(Tables)'!C184))-Inputs!F19&lt;=0,Inputs!F19-INDEX('(Ranges)'!A14:J14,,MAX(1,'Plot Support'!B50-'(Tables)'!C184))&lt;=0),Inputs!F30*E278,0*E278)</f>
        <v>0</v>
      </c>
      <c r="L88" s="116">
        <f>IF(AND('(FnCalls 1)'!A14-Inputs!F19&lt;=0,Inputs!F19-('(FnCalls 1)'!A15-1)&lt;=0),(-Inputs!E30)*E277,0*E277)+IF(AND(INDEX('(Ranges)'!A13:J13,,MAX(1,'Plot Support'!B51-'(Tables)'!C184))-Inputs!F19&lt;=0,Inputs!F19-INDEX('(Ranges)'!A14:J14,,MAX(1,'Plot Support'!B51-'(Tables)'!C184))&lt;=0),Inputs!F30*E277,0*E277)+IF(AND('(FnCalls 1)'!A14-Inputs!F19&lt;=0,Inputs!F19-('(FnCalls 1)'!A15-1)&lt;=0),(-Inputs!E30)*E278,0*E278)+IF(AND(INDEX('(Ranges)'!A13:J13,,MAX(1,'Plot Support'!B51-'(Tables)'!C184))-Inputs!F19&lt;=0,Inputs!F19-INDEX('(Ranges)'!A14:J14,,MAX(1,'Plot Support'!B51-'(Tables)'!C184))&lt;=0),Inputs!F30*E278,0*E278)</f>
        <v>0</v>
      </c>
      <c r="M88" s="69">
        <f t="shared" ref="M88:M93" si="23">SUM(I88:L88)</f>
        <v>0</v>
      </c>
    </row>
    <row r="89" spans="1:13" ht="12.75" hidden="1" customHeight="1" outlineLevel="2" x14ac:dyDescent="0.2">
      <c r="A89" s="144" t="str">
        <f>"         "&amp;Labels!B171</f>
        <v xml:space="preserve">         Invest 2</v>
      </c>
      <c r="B89" s="116">
        <f>IF(AND('(FnCalls 1)'!A6-Inputs!F20&lt;=0,Inputs!F20-('(FnCalls 1)'!A7-1)&lt;=0),(-Inputs!E31)*F277,0*F277)+IF(AND(INDEX('(Ranges)'!A13:J13,,MAX(1,'Plot Support'!B41-'(Tables)'!C185))-Inputs!F20&lt;=0,Inputs!F20-INDEX('(Ranges)'!A14:J14,,MAX(1,'Plot Support'!B41-'(Tables)'!C185))&lt;=0),Inputs!F31*F277,0*F277)+IF(AND('(FnCalls 1)'!A6-Inputs!F20&lt;=0,Inputs!F20-('(FnCalls 1)'!A7-1)&lt;=0),(-Inputs!E31)*F278,0*F278)+IF(AND(INDEX('(Ranges)'!A13:J13,,MAX(1,'Plot Support'!B41-'(Tables)'!C185))-Inputs!F20&lt;=0,Inputs!F20-INDEX('(Ranges)'!A14:J14,,MAX(1,'Plot Support'!B41-'(Tables)'!C185))&lt;=0),Inputs!F31*F278,0*F278)</f>
        <v>0</v>
      </c>
      <c r="C89" s="69">
        <f>B89</f>
        <v>0</v>
      </c>
      <c r="D89" s="116">
        <f>IF(AND('(FnCalls 1)'!A7-Inputs!F20&lt;=0,Inputs!F20-('(FnCalls 1)'!A8-1)&lt;=0),(-Inputs!E31)*F277,0*F277)+IF(AND(INDEX('(Ranges)'!A13:J13,,MAX(1,'Plot Support'!B43-'(Tables)'!C185))-Inputs!F20&lt;=0,Inputs!F20-INDEX('(Ranges)'!A14:J14,,MAX(1,'Plot Support'!B43-'(Tables)'!C185))&lt;=0),Inputs!F31*F277,0*F277)+IF(AND('(FnCalls 1)'!A7-Inputs!F20&lt;=0,Inputs!F20-('(FnCalls 1)'!A8-1)&lt;=0),(-Inputs!E31)*F278,0*F278)+IF(AND(INDEX('(Ranges)'!A13:J13,,MAX(1,'Plot Support'!B43-'(Tables)'!C185))-Inputs!F20&lt;=0,Inputs!F20-INDEX('(Ranges)'!A14:J14,,MAX(1,'Plot Support'!B43-'(Tables)'!C185))&lt;=0),Inputs!F31*F278,0*F278)</f>
        <v>0</v>
      </c>
      <c r="E89" s="116">
        <f>IF(AND('(FnCalls 1)'!A8-Inputs!F20&lt;=0,Inputs!F20-('(FnCalls 1)'!A9-1)&lt;=0),(-Inputs!E31)*F277,0*F277)+IF(AND(INDEX('(Ranges)'!A13:J13,,MAX(1,'Plot Support'!B44-'(Tables)'!C185))-Inputs!F20&lt;=0,Inputs!F20-INDEX('(Ranges)'!A14:J14,,MAX(1,'Plot Support'!B44-'(Tables)'!C185))&lt;=0),Inputs!F31*F277,0*F277)+IF(AND('(FnCalls 1)'!A8-Inputs!F20&lt;=0,Inputs!F20-('(FnCalls 1)'!A9-1)&lt;=0),(-Inputs!E31)*F278,0*F278)+IF(AND(INDEX('(Ranges)'!A13:J13,,MAX(1,'Plot Support'!B44-'(Tables)'!C185))-Inputs!F20&lt;=0,Inputs!F20-INDEX('(Ranges)'!A14:J14,,MAX(1,'Plot Support'!B44-'(Tables)'!C185))&lt;=0),Inputs!F31*F278,0*F278)</f>
        <v>0</v>
      </c>
      <c r="F89" s="116">
        <f>IF(AND('(FnCalls 1)'!A9-Inputs!F20&lt;=0,Inputs!F20-('(FnCalls 1)'!A10-1)&lt;=0),(-Inputs!E31)*F277,0*F277)+IF(AND(INDEX('(Ranges)'!A13:J13,,MAX(1,'Plot Support'!B45-'(Tables)'!C185))-Inputs!F20&lt;=0,Inputs!F20-INDEX('(Ranges)'!A14:J14,,MAX(1,'Plot Support'!B45-'(Tables)'!C185))&lt;=0),Inputs!F31*F277,0*F277)+IF(AND('(FnCalls 1)'!A9-Inputs!F20&lt;=0,Inputs!F20-('(FnCalls 1)'!A10-1)&lt;=0),(-Inputs!E31)*F278,0*F278)+IF(AND(INDEX('(Ranges)'!A13:J13,,MAX(1,'Plot Support'!B45-'(Tables)'!C185))-Inputs!F20&lt;=0,Inputs!F20-INDEX('(Ranges)'!A14:J14,,MAX(1,'Plot Support'!B45-'(Tables)'!C185))&lt;=0),Inputs!F31*F278,0*F278)</f>
        <v>0</v>
      </c>
      <c r="G89" s="116">
        <f>IF(AND('(FnCalls 1)'!A10-Inputs!F20&lt;=0,Inputs!F20-('(FnCalls 1)'!A11-1)&lt;=0),(-Inputs!E31)*F277,0*F277)+IF(AND(INDEX('(Ranges)'!A13:J13,,MAX(1,'Plot Support'!B46-'(Tables)'!C185))-Inputs!F20&lt;=0,Inputs!F20-INDEX('(Ranges)'!A14:J14,,MAX(1,'Plot Support'!B46-'(Tables)'!C185))&lt;=0),Inputs!F31*F277,0*F277)+IF(AND('(FnCalls 1)'!A10-Inputs!F20&lt;=0,Inputs!F20-('(FnCalls 1)'!A11-1)&lt;=0),(-Inputs!E31)*F278,0*F278)+IF(AND(INDEX('(Ranges)'!A13:J13,,MAX(1,'Plot Support'!B46-'(Tables)'!C185))-Inputs!F20&lt;=0,Inputs!F20-INDEX('(Ranges)'!A14:J14,,MAX(1,'Plot Support'!B46-'(Tables)'!C185))&lt;=0),Inputs!F31*F278,0*F278)</f>
        <v>0</v>
      </c>
      <c r="H89" s="69">
        <f t="shared" si="22"/>
        <v>0</v>
      </c>
      <c r="I89" s="116">
        <f>IF(AND('(FnCalls 1)'!A11-Inputs!F20&lt;=0,Inputs!F20-('(FnCalls 1)'!A12-1)&lt;=0),(-Inputs!E31)*F277,0*F277)+IF(AND(INDEX('(Ranges)'!A13:J13,,MAX(1,'Plot Support'!B48-'(Tables)'!C185))-Inputs!F20&lt;=0,Inputs!F20-INDEX('(Ranges)'!A14:J14,,MAX(1,'Plot Support'!B48-'(Tables)'!C185))&lt;=0),Inputs!F31*F277,0*F277)+IF(AND('(FnCalls 1)'!A11-Inputs!F20&lt;=0,Inputs!F20-('(FnCalls 1)'!A12-1)&lt;=0),(-Inputs!E31)*F278,0*F278)+IF(AND(INDEX('(Ranges)'!A13:J13,,MAX(1,'Plot Support'!B48-'(Tables)'!C185))-Inputs!F20&lt;=0,Inputs!F20-INDEX('(Ranges)'!A14:J14,,MAX(1,'Plot Support'!B48-'(Tables)'!C185))&lt;=0),Inputs!F31*F278,0*F278)</f>
        <v>0</v>
      </c>
      <c r="J89" s="116">
        <f>IF(AND('(FnCalls 1)'!A12-Inputs!F20&lt;=0,Inputs!F20-('(FnCalls 1)'!A13-1)&lt;=0),(-Inputs!E31)*F277,0*F277)+IF(AND(INDEX('(Ranges)'!A13:J13,,MAX(1,'Plot Support'!B49-'(Tables)'!C185))-Inputs!F20&lt;=0,Inputs!F20-INDEX('(Ranges)'!A14:J14,,MAX(1,'Plot Support'!B49-'(Tables)'!C185))&lt;=0),Inputs!F31*F277,0*F277)+IF(AND('(FnCalls 1)'!A12-Inputs!F20&lt;=0,Inputs!F20-('(FnCalls 1)'!A13-1)&lt;=0),(-Inputs!E31)*F278,0*F278)+IF(AND(INDEX('(Ranges)'!A13:J13,,MAX(1,'Plot Support'!B49-'(Tables)'!C185))-Inputs!F20&lt;=0,Inputs!F20-INDEX('(Ranges)'!A14:J14,,MAX(1,'Plot Support'!B49-'(Tables)'!C185))&lt;=0),Inputs!F31*F278,0*F278)</f>
        <v>0</v>
      </c>
      <c r="K89" s="116">
        <f>IF(AND('(FnCalls 1)'!A13-Inputs!F20&lt;=0,Inputs!F20-('(FnCalls 1)'!A14-1)&lt;=0),(-Inputs!E31)*F277,0*F277)+IF(AND(INDEX('(Ranges)'!A13:J13,,MAX(1,'Plot Support'!B50-'(Tables)'!C185))-Inputs!F20&lt;=0,Inputs!F20-INDEX('(Ranges)'!A14:J14,,MAX(1,'Plot Support'!B50-'(Tables)'!C185))&lt;=0),Inputs!F31*F277,0*F277)+IF(AND('(FnCalls 1)'!A13-Inputs!F20&lt;=0,Inputs!F20-('(FnCalls 1)'!A14-1)&lt;=0),(-Inputs!E31)*F278,0*F278)+IF(AND(INDEX('(Ranges)'!A13:J13,,MAX(1,'Plot Support'!B50-'(Tables)'!C185))-Inputs!F20&lt;=0,Inputs!F20-INDEX('(Ranges)'!A14:J14,,MAX(1,'Plot Support'!B50-'(Tables)'!C185))&lt;=0),Inputs!F31*F278,0*F278)</f>
        <v>0</v>
      </c>
      <c r="L89" s="116">
        <f>IF(AND('(FnCalls 1)'!A14-Inputs!F20&lt;=0,Inputs!F20-('(FnCalls 1)'!A15-1)&lt;=0),(-Inputs!E31)*F277,0*F277)+IF(AND(INDEX('(Ranges)'!A13:J13,,MAX(1,'Plot Support'!B51-'(Tables)'!C185))-Inputs!F20&lt;=0,Inputs!F20-INDEX('(Ranges)'!A14:J14,,MAX(1,'Plot Support'!B51-'(Tables)'!C185))&lt;=0),Inputs!F31*F277,0*F277)+IF(AND('(FnCalls 1)'!A14-Inputs!F20&lt;=0,Inputs!F20-('(FnCalls 1)'!A15-1)&lt;=0),(-Inputs!E31)*F278,0*F278)+IF(AND(INDEX('(Ranges)'!A13:J13,,MAX(1,'Plot Support'!B51-'(Tables)'!C185))-Inputs!F20&lt;=0,Inputs!F20-INDEX('(Ranges)'!A14:J14,,MAX(1,'Plot Support'!B51-'(Tables)'!C185))&lt;=0),Inputs!F31*F278,0*F278)</f>
        <v>0</v>
      </c>
      <c r="M89" s="69">
        <f t="shared" si="23"/>
        <v>0</v>
      </c>
    </row>
    <row r="90" spans="1:13" ht="12.75" hidden="1" customHeight="1" outlineLevel="2" x14ac:dyDescent="0.2">
      <c r="A90" s="144" t="str">
        <f>"         "&amp;Labels!C169</f>
        <v xml:space="preserve">         Total</v>
      </c>
      <c r="B90" s="159">
        <f>SUM(B88:B89)</f>
        <v>0</v>
      </c>
      <c r="C90" s="69">
        <f>SUM(B88:B89)</f>
        <v>0</v>
      </c>
      <c r="D90" s="159">
        <f>SUM(D88:D89)</f>
        <v>0</v>
      </c>
      <c r="E90" s="159">
        <f>SUM(E88:E89)</f>
        <v>0</v>
      </c>
      <c r="F90" s="159">
        <f>SUM(F88:F89)</f>
        <v>0</v>
      </c>
      <c r="G90" s="159">
        <f>SUM(G88:G89)</f>
        <v>0</v>
      </c>
      <c r="H90" s="69">
        <f t="shared" si="22"/>
        <v>0</v>
      </c>
      <c r="I90" s="159">
        <f>SUM(I88:I89)</f>
        <v>0</v>
      </c>
      <c r="J90" s="159">
        <f>SUM(J88:J89)</f>
        <v>0</v>
      </c>
      <c r="K90" s="159">
        <f>SUM(K88:K89)</f>
        <v>0</v>
      </c>
      <c r="L90" s="159">
        <f>SUM(L88:L89)</f>
        <v>0</v>
      </c>
      <c r="M90" s="69">
        <f t="shared" si="23"/>
        <v>0</v>
      </c>
    </row>
    <row r="91" spans="1:13" ht="12.75" hidden="1" customHeight="1" outlineLevel="2" x14ac:dyDescent="0.2">
      <c r="A91" s="114" t="str">
        <f>"      "&amp;Labels!C165</f>
        <v xml:space="preserve">      Total</v>
      </c>
      <c r="B91" s="113">
        <f>SUM(B86,B90)</f>
        <v>0</v>
      </c>
      <c r="C91" s="69">
        <f>SUM(B86,B90)</f>
        <v>0</v>
      </c>
      <c r="D91" s="113">
        <f>SUM(D92:D93)</f>
        <v>0</v>
      </c>
      <c r="E91" s="113">
        <f>SUM(E92:E93)</f>
        <v>0</v>
      </c>
      <c r="F91" s="113">
        <f>SUM(F92:F93)</f>
        <v>0</v>
      </c>
      <c r="G91" s="113">
        <f>SUM(G92:G93)</f>
        <v>0</v>
      </c>
      <c r="H91" s="69">
        <f t="shared" si="22"/>
        <v>0</v>
      </c>
      <c r="I91" s="113">
        <f>SUM(I92:I93)</f>
        <v>0</v>
      </c>
      <c r="J91" s="113">
        <f>SUM(J92:J93)</f>
        <v>0</v>
      </c>
      <c r="K91" s="113">
        <f>SUM(K92:K93)</f>
        <v>0</v>
      </c>
      <c r="L91" s="113">
        <f>SUM(L92:L93)</f>
        <v>0</v>
      </c>
      <c r="M91" s="69">
        <f t="shared" si="23"/>
        <v>0</v>
      </c>
    </row>
    <row r="92" spans="1:13" ht="12.75" hidden="1" customHeight="1" outlineLevel="2" x14ac:dyDescent="0.2">
      <c r="A92" s="144" t="str">
        <f>"         "&amp;Labels!B170</f>
        <v xml:space="preserve">         Invest 1</v>
      </c>
      <c r="B92" s="116">
        <f>SUM(B84,B88)</f>
        <v>0</v>
      </c>
      <c r="C92" s="69">
        <f>SUM(B84,B88)</f>
        <v>0</v>
      </c>
      <c r="D92" s="116">
        <f t="shared" ref="D92:G94" si="24">SUM(D84,D88)</f>
        <v>0</v>
      </c>
      <c r="E92" s="116">
        <f t="shared" si="24"/>
        <v>0</v>
      </c>
      <c r="F92" s="116">
        <f t="shared" si="24"/>
        <v>0</v>
      </c>
      <c r="G92" s="116">
        <f t="shared" si="24"/>
        <v>0</v>
      </c>
      <c r="H92" s="69">
        <f t="shared" si="22"/>
        <v>0</v>
      </c>
      <c r="I92" s="116">
        <f t="shared" ref="I92:L94" si="25">SUM(I84,I88)</f>
        <v>0</v>
      </c>
      <c r="J92" s="116">
        <f t="shared" si="25"/>
        <v>0</v>
      </c>
      <c r="K92" s="116">
        <f t="shared" si="25"/>
        <v>0</v>
      </c>
      <c r="L92" s="116">
        <f t="shared" si="25"/>
        <v>0</v>
      </c>
      <c r="M92" s="69">
        <f t="shared" si="23"/>
        <v>0</v>
      </c>
    </row>
    <row r="93" spans="1:13" ht="12.75" hidden="1" customHeight="1" outlineLevel="2" x14ac:dyDescent="0.2">
      <c r="A93" s="144" t="str">
        <f>"         "&amp;Labels!B171</f>
        <v xml:space="preserve">         Invest 2</v>
      </c>
      <c r="B93" s="116">
        <f>SUM(B85,B89)</f>
        <v>0</v>
      </c>
      <c r="C93" s="69">
        <f>SUM(B85,B89)</f>
        <v>0</v>
      </c>
      <c r="D93" s="116">
        <f t="shared" si="24"/>
        <v>0</v>
      </c>
      <c r="E93" s="116">
        <f t="shared" si="24"/>
        <v>0</v>
      </c>
      <c r="F93" s="116">
        <f t="shared" si="24"/>
        <v>0</v>
      </c>
      <c r="G93" s="116">
        <f t="shared" si="24"/>
        <v>0</v>
      </c>
      <c r="H93" s="69">
        <f t="shared" si="22"/>
        <v>0</v>
      </c>
      <c r="I93" s="116">
        <f t="shared" si="25"/>
        <v>0</v>
      </c>
      <c r="J93" s="116">
        <f t="shared" si="25"/>
        <v>0</v>
      </c>
      <c r="K93" s="116">
        <f t="shared" si="25"/>
        <v>0</v>
      </c>
      <c r="L93" s="116">
        <f t="shared" si="25"/>
        <v>0</v>
      </c>
      <c r="M93" s="69">
        <f t="shared" si="23"/>
        <v>0</v>
      </c>
    </row>
    <row r="94" spans="1:13" ht="12.75" hidden="1" customHeight="1" outlineLevel="2" x14ac:dyDescent="0.2">
      <c r="A94" s="144" t="str">
        <f>"         "&amp;Labels!C169</f>
        <v xml:space="preserve">         Total</v>
      </c>
      <c r="B94" s="159">
        <f>SUM(B86,B90)</f>
        <v>0</v>
      </c>
      <c r="C94" s="69">
        <f>SUM(B86,B90)</f>
        <v>0</v>
      </c>
      <c r="D94" s="159">
        <f t="shared" si="24"/>
        <v>0</v>
      </c>
      <c r="E94" s="159">
        <f t="shared" si="24"/>
        <v>0</v>
      </c>
      <c r="F94" s="159">
        <f t="shared" si="24"/>
        <v>0</v>
      </c>
      <c r="G94" s="159">
        <f t="shared" si="24"/>
        <v>0</v>
      </c>
      <c r="H94" s="69">
        <f>SUM(D91:G91)</f>
        <v>0</v>
      </c>
      <c r="I94" s="159">
        <f t="shared" si="25"/>
        <v>0</v>
      </c>
      <c r="J94" s="159">
        <f t="shared" si="25"/>
        <v>0</v>
      </c>
      <c r="K94" s="159">
        <f t="shared" si="25"/>
        <v>0</v>
      </c>
      <c r="L94" s="159">
        <f t="shared" si="25"/>
        <v>0</v>
      </c>
      <c r="M94" s="69">
        <f>SUM(I91:L91)</f>
        <v>0</v>
      </c>
    </row>
    <row r="95" spans="1:13" ht="12.75" hidden="1" customHeight="1" outlineLevel="2" x14ac:dyDescent="0.2">
      <c r="A95" s="117" t="str">
        <f>"   "&amp;Labels!C181</f>
        <v xml:space="preserve">   Total</v>
      </c>
      <c r="B95" s="120">
        <f>SUM(B78,B91)</f>
        <v>0</v>
      </c>
      <c r="C95" s="69">
        <f>SUM(B78,B91)</f>
        <v>0</v>
      </c>
      <c r="D95" s="120">
        <f>SUM(D78,D91)</f>
        <v>0</v>
      </c>
      <c r="E95" s="120">
        <f>SUM(E78,E91)</f>
        <v>0</v>
      </c>
      <c r="F95" s="120">
        <f>SUM(F78,F91)</f>
        <v>0</v>
      </c>
      <c r="G95" s="120">
        <f>SUM(G78,G91)</f>
        <v>0</v>
      </c>
      <c r="H95" s="69">
        <f>SUM(D95:G95)</f>
        <v>0</v>
      </c>
      <c r="I95" s="120">
        <f>SUM(I78,I91)</f>
        <v>0</v>
      </c>
      <c r="J95" s="120">
        <f>SUM(J78,J91)</f>
        <v>0</v>
      </c>
      <c r="K95" s="120">
        <f>SUM(K78,K91)</f>
        <v>0</v>
      </c>
      <c r="L95" s="120">
        <f>SUM(L78,L91)</f>
        <v>0</v>
      </c>
      <c r="M95" s="69">
        <f>SUM(I95:L95)</f>
        <v>0</v>
      </c>
    </row>
    <row r="96" spans="1:13" ht="12.75" hidden="1" customHeight="1" outlineLevel="2" x14ac:dyDescent="0.2">
      <c r="A96" s="144" t="str">
        <f>"      "&amp;Labels!B166</f>
        <v xml:space="preserve">      Depreciable</v>
      </c>
      <c r="B96" s="159"/>
      <c r="C96" s="69"/>
      <c r="D96" s="159"/>
      <c r="E96" s="159"/>
      <c r="F96" s="159"/>
      <c r="G96" s="159"/>
      <c r="H96" s="69"/>
      <c r="I96" s="159"/>
      <c r="J96" s="159"/>
      <c r="K96" s="159"/>
      <c r="L96" s="159"/>
      <c r="M96" s="69"/>
    </row>
    <row r="97" spans="1:13" ht="12.75" hidden="1" customHeight="1" outlineLevel="2" x14ac:dyDescent="0.2">
      <c r="A97" s="144" t="str">
        <f>"         "&amp;Labels!B170</f>
        <v xml:space="preserve">         Invest 1</v>
      </c>
      <c r="B97" s="116">
        <f>SUM(B71,B84)</f>
        <v>0</v>
      </c>
      <c r="C97" s="69">
        <f>SUM(B71,B84)</f>
        <v>0</v>
      </c>
      <c r="D97" s="116">
        <f t="shared" ref="D97:G99" si="26">SUM(D71,D84)</f>
        <v>0</v>
      </c>
      <c r="E97" s="116">
        <f t="shared" si="26"/>
        <v>0</v>
      </c>
      <c r="F97" s="116">
        <f t="shared" si="26"/>
        <v>0</v>
      </c>
      <c r="G97" s="116">
        <f t="shared" si="26"/>
        <v>0</v>
      </c>
      <c r="H97" s="69">
        <f>SUM(D97:G97)</f>
        <v>0</v>
      </c>
      <c r="I97" s="116">
        <f t="shared" ref="I97:L99" si="27">SUM(I71,I84)</f>
        <v>0</v>
      </c>
      <c r="J97" s="116">
        <f t="shared" si="27"/>
        <v>0</v>
      </c>
      <c r="K97" s="116">
        <f t="shared" si="27"/>
        <v>0</v>
      </c>
      <c r="L97" s="116">
        <f t="shared" si="27"/>
        <v>0</v>
      </c>
      <c r="M97" s="69">
        <f>SUM(I97:L97)</f>
        <v>0</v>
      </c>
    </row>
    <row r="98" spans="1:13" ht="12.75" hidden="1" customHeight="1" outlineLevel="2" x14ac:dyDescent="0.2">
      <c r="A98" s="144" t="str">
        <f>"         "&amp;Labels!B171</f>
        <v xml:space="preserve">         Invest 2</v>
      </c>
      <c r="B98" s="116">
        <f>SUM(B72,B85)</f>
        <v>0</v>
      </c>
      <c r="C98" s="69">
        <f>SUM(B72,B85)</f>
        <v>0</v>
      </c>
      <c r="D98" s="116">
        <f t="shared" si="26"/>
        <v>0</v>
      </c>
      <c r="E98" s="116">
        <f t="shared" si="26"/>
        <v>0</v>
      </c>
      <c r="F98" s="116">
        <f t="shared" si="26"/>
        <v>0</v>
      </c>
      <c r="G98" s="116">
        <f t="shared" si="26"/>
        <v>0</v>
      </c>
      <c r="H98" s="69">
        <f>SUM(D98:G98)</f>
        <v>0</v>
      </c>
      <c r="I98" s="116">
        <f t="shared" si="27"/>
        <v>0</v>
      </c>
      <c r="J98" s="116">
        <f t="shared" si="27"/>
        <v>0</v>
      </c>
      <c r="K98" s="116">
        <f t="shared" si="27"/>
        <v>0</v>
      </c>
      <c r="L98" s="116">
        <f t="shared" si="27"/>
        <v>0</v>
      </c>
      <c r="M98" s="69">
        <f>SUM(I98:L98)</f>
        <v>0</v>
      </c>
    </row>
    <row r="99" spans="1:13" ht="12.75" hidden="1" customHeight="1" outlineLevel="2" x14ac:dyDescent="0.2">
      <c r="A99" s="144" t="str">
        <f>"         "&amp;Labels!C169</f>
        <v xml:space="preserve">         Total</v>
      </c>
      <c r="B99" s="159">
        <f>SUM(B73,B86)</f>
        <v>0</v>
      </c>
      <c r="C99" s="69">
        <f>SUM(B73,B86)</f>
        <v>0</v>
      </c>
      <c r="D99" s="159">
        <f t="shared" si="26"/>
        <v>0</v>
      </c>
      <c r="E99" s="159">
        <f t="shared" si="26"/>
        <v>0</v>
      </c>
      <c r="F99" s="159">
        <f t="shared" si="26"/>
        <v>0</v>
      </c>
      <c r="G99" s="159">
        <f t="shared" si="26"/>
        <v>0</v>
      </c>
      <c r="H99" s="69">
        <f>SUM(D99:G99)</f>
        <v>0</v>
      </c>
      <c r="I99" s="159">
        <f t="shared" si="27"/>
        <v>0</v>
      </c>
      <c r="J99" s="159">
        <f t="shared" si="27"/>
        <v>0</v>
      </c>
      <c r="K99" s="159">
        <f t="shared" si="27"/>
        <v>0</v>
      </c>
      <c r="L99" s="159">
        <f t="shared" si="27"/>
        <v>0</v>
      </c>
      <c r="M99" s="69">
        <f>SUM(I99:L99)</f>
        <v>0</v>
      </c>
    </row>
    <row r="100" spans="1:13" ht="12.75" hidden="1" customHeight="1" outlineLevel="2" x14ac:dyDescent="0.2">
      <c r="A100" s="144" t="str">
        <f>"      "&amp;Labels!B167</f>
        <v xml:space="preserve">      Non-Deprec</v>
      </c>
      <c r="B100" s="159"/>
      <c r="C100" s="69"/>
      <c r="D100" s="159"/>
      <c r="E100" s="159"/>
      <c r="F100" s="159"/>
      <c r="G100" s="159"/>
      <c r="H100" s="69"/>
      <c r="I100" s="159"/>
      <c r="J100" s="159"/>
      <c r="K100" s="159"/>
      <c r="L100" s="159"/>
      <c r="M100" s="69"/>
    </row>
    <row r="101" spans="1:13" ht="12.75" hidden="1" customHeight="1" outlineLevel="2" x14ac:dyDescent="0.2">
      <c r="A101" s="144" t="str">
        <f>"         "&amp;Labels!B170</f>
        <v xml:space="preserve">         Invest 1</v>
      </c>
      <c r="B101" s="116">
        <f t="shared" ref="B101:B106" si="28">SUM(B75,B88)</f>
        <v>0</v>
      </c>
      <c r="C101" s="69">
        <f t="shared" ref="C101:C106" si="29">SUM(B75,B88)</f>
        <v>0</v>
      </c>
      <c r="D101" s="116">
        <f t="shared" ref="D101:G106" si="30">SUM(D75,D88)</f>
        <v>0</v>
      </c>
      <c r="E101" s="116">
        <f t="shared" si="30"/>
        <v>0</v>
      </c>
      <c r="F101" s="116">
        <f t="shared" si="30"/>
        <v>0</v>
      </c>
      <c r="G101" s="116">
        <f t="shared" si="30"/>
        <v>0</v>
      </c>
      <c r="H101" s="69">
        <f>SUM(D101:G101)</f>
        <v>0</v>
      </c>
      <c r="I101" s="116">
        <f t="shared" ref="I101:L106" si="31">SUM(I75,I88)</f>
        <v>0</v>
      </c>
      <c r="J101" s="116">
        <f t="shared" si="31"/>
        <v>0</v>
      </c>
      <c r="K101" s="116">
        <f t="shared" si="31"/>
        <v>0</v>
      </c>
      <c r="L101" s="116">
        <f t="shared" si="31"/>
        <v>0</v>
      </c>
      <c r="M101" s="69">
        <f>SUM(I101:L101)</f>
        <v>0</v>
      </c>
    </row>
    <row r="102" spans="1:13" ht="12.75" hidden="1" customHeight="1" outlineLevel="2" x14ac:dyDescent="0.2">
      <c r="A102" s="144" t="str">
        <f>"         "&amp;Labels!B171</f>
        <v xml:space="preserve">         Invest 2</v>
      </c>
      <c r="B102" s="116">
        <f t="shared" si="28"/>
        <v>0</v>
      </c>
      <c r="C102" s="69">
        <f t="shared" si="29"/>
        <v>0</v>
      </c>
      <c r="D102" s="116">
        <f t="shared" si="30"/>
        <v>0</v>
      </c>
      <c r="E102" s="116">
        <f t="shared" si="30"/>
        <v>0</v>
      </c>
      <c r="F102" s="116">
        <f t="shared" si="30"/>
        <v>0</v>
      </c>
      <c r="G102" s="116">
        <f t="shared" si="30"/>
        <v>0</v>
      </c>
      <c r="H102" s="69">
        <f>SUM(D102:G102)</f>
        <v>0</v>
      </c>
      <c r="I102" s="116">
        <f t="shared" si="31"/>
        <v>0</v>
      </c>
      <c r="J102" s="116">
        <f t="shared" si="31"/>
        <v>0</v>
      </c>
      <c r="K102" s="116">
        <f t="shared" si="31"/>
        <v>0</v>
      </c>
      <c r="L102" s="116">
        <f t="shared" si="31"/>
        <v>0</v>
      </c>
      <c r="M102" s="69">
        <f>SUM(I102:L102)</f>
        <v>0</v>
      </c>
    </row>
    <row r="103" spans="1:13" ht="12.75" hidden="1" customHeight="1" outlineLevel="2" x14ac:dyDescent="0.2">
      <c r="A103" s="144" t="str">
        <f>"         "&amp;Labels!C169</f>
        <v xml:space="preserve">         Total</v>
      </c>
      <c r="B103" s="159">
        <f t="shared" si="28"/>
        <v>0</v>
      </c>
      <c r="C103" s="69">
        <f t="shared" si="29"/>
        <v>0</v>
      </c>
      <c r="D103" s="159">
        <f t="shared" si="30"/>
        <v>0</v>
      </c>
      <c r="E103" s="159">
        <f t="shared" si="30"/>
        <v>0</v>
      </c>
      <c r="F103" s="159">
        <f t="shared" si="30"/>
        <v>0</v>
      </c>
      <c r="G103" s="159">
        <f t="shared" si="30"/>
        <v>0</v>
      </c>
      <c r="H103" s="69">
        <f>SUM(D103:G103)</f>
        <v>0</v>
      </c>
      <c r="I103" s="159">
        <f t="shared" si="31"/>
        <v>0</v>
      </c>
      <c r="J103" s="159">
        <f t="shared" si="31"/>
        <v>0</v>
      </c>
      <c r="K103" s="159">
        <f t="shared" si="31"/>
        <v>0</v>
      </c>
      <c r="L103" s="159">
        <f t="shared" si="31"/>
        <v>0</v>
      </c>
      <c r="M103" s="69">
        <f>SUM(I103:L103)</f>
        <v>0</v>
      </c>
    </row>
    <row r="104" spans="1:13" ht="12.75" hidden="1" customHeight="1" outlineLevel="2" x14ac:dyDescent="0.2">
      <c r="A104" s="114" t="str">
        <f>"      "&amp;Labels!C165</f>
        <v xml:space="preserve">      Total</v>
      </c>
      <c r="B104" s="113">
        <f t="shared" si="28"/>
        <v>0</v>
      </c>
      <c r="C104" s="69">
        <f t="shared" si="29"/>
        <v>0</v>
      </c>
      <c r="D104" s="113">
        <f t="shared" si="30"/>
        <v>0</v>
      </c>
      <c r="E104" s="113">
        <f t="shared" si="30"/>
        <v>0</v>
      </c>
      <c r="F104" s="113">
        <f t="shared" si="30"/>
        <v>0</v>
      </c>
      <c r="G104" s="113">
        <f t="shared" si="30"/>
        <v>0</v>
      </c>
      <c r="H104" s="69">
        <f>SUM(D95:G95)</f>
        <v>0</v>
      </c>
      <c r="I104" s="113">
        <f t="shared" si="31"/>
        <v>0</v>
      </c>
      <c r="J104" s="113">
        <f t="shared" si="31"/>
        <v>0</v>
      </c>
      <c r="K104" s="113">
        <f t="shared" si="31"/>
        <v>0</v>
      </c>
      <c r="L104" s="113">
        <f t="shared" si="31"/>
        <v>0</v>
      </c>
      <c r="M104" s="69">
        <f>SUM(I95:L95)</f>
        <v>0</v>
      </c>
    </row>
    <row r="105" spans="1:13" ht="12.75" hidden="1" customHeight="1" outlineLevel="2" x14ac:dyDescent="0.2">
      <c r="A105" s="144" t="str">
        <f>"         "&amp;Labels!B170</f>
        <v xml:space="preserve">         Invest 1</v>
      </c>
      <c r="B105" s="116">
        <f t="shared" si="28"/>
        <v>0</v>
      </c>
      <c r="C105" s="69">
        <f t="shared" si="29"/>
        <v>0</v>
      </c>
      <c r="D105" s="116">
        <f t="shared" si="30"/>
        <v>0</v>
      </c>
      <c r="E105" s="116">
        <f t="shared" si="30"/>
        <v>0</v>
      </c>
      <c r="F105" s="116">
        <f t="shared" si="30"/>
        <v>0</v>
      </c>
      <c r="G105" s="116">
        <f t="shared" si="30"/>
        <v>0</v>
      </c>
      <c r="H105" s="69">
        <f>SUM(D105:G105)</f>
        <v>0</v>
      </c>
      <c r="I105" s="116">
        <f t="shared" si="31"/>
        <v>0</v>
      </c>
      <c r="J105" s="116">
        <f t="shared" si="31"/>
        <v>0</v>
      </c>
      <c r="K105" s="116">
        <f t="shared" si="31"/>
        <v>0</v>
      </c>
      <c r="L105" s="116">
        <f t="shared" si="31"/>
        <v>0</v>
      </c>
      <c r="M105" s="69">
        <f>SUM(I105:L105)</f>
        <v>0</v>
      </c>
    </row>
    <row r="106" spans="1:13" ht="12.75" hidden="1" customHeight="1" outlineLevel="2" x14ac:dyDescent="0.2">
      <c r="A106" s="144" t="str">
        <f>"         "&amp;Labels!B171</f>
        <v xml:space="preserve">         Invest 2</v>
      </c>
      <c r="B106" s="116">
        <f t="shared" si="28"/>
        <v>0</v>
      </c>
      <c r="C106" s="69">
        <f t="shared" si="29"/>
        <v>0</v>
      </c>
      <c r="D106" s="116">
        <f t="shared" si="30"/>
        <v>0</v>
      </c>
      <c r="E106" s="116">
        <f t="shared" si="30"/>
        <v>0</v>
      </c>
      <c r="F106" s="116">
        <f t="shared" si="30"/>
        <v>0</v>
      </c>
      <c r="G106" s="116">
        <f t="shared" si="30"/>
        <v>0</v>
      </c>
      <c r="H106" s="69">
        <f>SUM(D106:G106)</f>
        <v>0</v>
      </c>
      <c r="I106" s="116">
        <f t="shared" si="31"/>
        <v>0</v>
      </c>
      <c r="J106" s="116">
        <f t="shared" si="31"/>
        <v>0</v>
      </c>
      <c r="K106" s="116">
        <f t="shared" si="31"/>
        <v>0</v>
      </c>
      <c r="L106" s="116">
        <f t="shared" si="31"/>
        <v>0</v>
      </c>
      <c r="M106" s="69">
        <f>SUM(I106:L106)</f>
        <v>0</v>
      </c>
    </row>
    <row r="107" spans="1:13" ht="12.75" hidden="1" customHeight="1" outlineLevel="2" x14ac:dyDescent="0.2">
      <c r="A107" s="160" t="str">
        <f>"         "&amp;Labels!C169</f>
        <v xml:space="preserve">         Total</v>
      </c>
      <c r="B107" s="161">
        <f>SUM(B78,B91)</f>
        <v>0</v>
      </c>
      <c r="C107" s="70">
        <f>SUM(B78,B91)</f>
        <v>0</v>
      </c>
      <c r="D107" s="161">
        <f>SUM(D78,D91)</f>
        <v>0</v>
      </c>
      <c r="E107" s="161">
        <f>SUM(E78,E91)</f>
        <v>0</v>
      </c>
      <c r="F107" s="161">
        <f>SUM(F78,F91)</f>
        <v>0</v>
      </c>
      <c r="G107" s="161">
        <f>SUM(G78,G91)</f>
        <v>0</v>
      </c>
      <c r="H107" s="70">
        <f>SUM(D95:G95)</f>
        <v>0</v>
      </c>
      <c r="I107" s="161">
        <f>SUM(I78,I91)</f>
        <v>0</v>
      </c>
      <c r="J107" s="161">
        <f>SUM(J78,J91)</f>
        <v>0</v>
      </c>
      <c r="K107" s="161">
        <f>SUM(K78,K91)</f>
        <v>0</v>
      </c>
      <c r="L107" s="161">
        <f>SUM(L78,L91)</f>
        <v>0</v>
      </c>
      <c r="M107" s="70">
        <f>SUM(I95:L95)</f>
        <v>0</v>
      </c>
    </row>
    <row r="108" spans="1:13" ht="12.75" hidden="1" customHeight="1" outlineLevel="2" collapsed="1" x14ac:dyDescent="0.2"/>
    <row r="109" spans="1:13" ht="12.75" hidden="1" customHeight="1" outlineLevel="1" collapsed="1" x14ac:dyDescent="0.2"/>
    <row r="110" spans="1:13" ht="12.75" customHeight="1" collapsed="1" x14ac:dyDescent="0.2">
      <c r="A110" s="272" t="str">
        <f>"Cash Flow - Working Capital"</f>
        <v>Cash Flow - Working Capital</v>
      </c>
      <c r="B110" s="272"/>
    </row>
    <row r="111" spans="1:13" ht="12.75" hidden="1" customHeight="1" outlineLevel="1" x14ac:dyDescent="0.2">
      <c r="A111" s="272" t="str">
        <f>""</f>
        <v/>
      </c>
      <c r="B111" s="272"/>
    </row>
    <row r="112" spans="1:13" ht="12.75" hidden="1" customHeight="1" outlineLevel="1" x14ac:dyDescent="0.2">
      <c r="B112" s="17" t="str">
        <f>'(FnCalls 1)'!G6</f>
        <v>Q4 2010</v>
      </c>
      <c r="C112" s="62" t="str">
        <f>'(FnCalls 1)'!H4</f>
        <v>2010</v>
      </c>
      <c r="D112" s="18" t="str">
        <f>'(FnCalls 1)'!G7</f>
        <v>Q1 2011</v>
      </c>
      <c r="E112" s="18" t="str">
        <f>'(FnCalls 1)'!G8</f>
        <v>Q2 2011</v>
      </c>
      <c r="F112" s="18" t="str">
        <f>'(FnCalls 1)'!G9</f>
        <v>Q3 2011</v>
      </c>
      <c r="G112" s="18" t="str">
        <f>'(FnCalls 1)'!G10</f>
        <v>Q4 2011</v>
      </c>
      <c r="H112" s="62" t="str">
        <f>'(FnCalls 1)'!H7</f>
        <v>2011</v>
      </c>
      <c r="I112" s="18" t="str">
        <f>'(FnCalls 1)'!G11</f>
        <v>Q1 2012</v>
      </c>
      <c r="J112" s="18" t="str">
        <f>'(FnCalls 1)'!G12</f>
        <v>Q2 2012</v>
      </c>
      <c r="K112" s="18" t="str">
        <f>'(FnCalls 1)'!G13</f>
        <v>Q3 2012</v>
      </c>
      <c r="L112" s="18" t="str">
        <f>'(FnCalls 1)'!G14</f>
        <v>Q4 2012</v>
      </c>
      <c r="M112" s="62" t="str">
        <f>'(FnCalls 1)'!H11</f>
        <v>2012</v>
      </c>
    </row>
    <row r="113" spans="1:13" ht="12.75" hidden="1" customHeight="1" outlineLevel="1" x14ac:dyDescent="0.2">
      <c r="A113" s="111" t="str">
        <f>Labels!B21</f>
        <v>Cash Flow - Working Cap</v>
      </c>
      <c r="B113" s="110"/>
      <c r="C113" s="75"/>
      <c r="D113" s="110"/>
      <c r="E113" s="110"/>
      <c r="F113" s="110"/>
      <c r="G113" s="110"/>
      <c r="H113" s="75"/>
      <c r="I113" s="110"/>
      <c r="J113" s="110"/>
      <c r="K113" s="110"/>
      <c r="L113" s="110"/>
      <c r="M113" s="75"/>
    </row>
    <row r="114" spans="1:13" ht="12.75" hidden="1" customHeight="1" outlineLevel="1" x14ac:dyDescent="0.2">
      <c r="A114" s="114" t="str">
        <f>"   "&amp;Labels!B182</f>
        <v xml:space="preserve">   Catamarans</v>
      </c>
      <c r="B114" s="113">
        <f>SUM(B128:B129)</f>
        <v>0</v>
      </c>
      <c r="C114" s="69">
        <f>SUM(B128:B129)</f>
        <v>0</v>
      </c>
      <c r="D114" s="113">
        <f>SUM(D128:D129)</f>
        <v>0</v>
      </c>
      <c r="E114" s="113">
        <f>SUM(E128:E129)</f>
        <v>0</v>
      </c>
      <c r="F114" s="113">
        <f>SUM(F128:F129)</f>
        <v>0</v>
      </c>
      <c r="G114" s="113">
        <f>SUM(G128:G129)</f>
        <v>0</v>
      </c>
      <c r="H114" s="69">
        <f>SUM(D114:G114)</f>
        <v>0</v>
      </c>
      <c r="I114" s="113">
        <f>SUM(I128:I129)</f>
        <v>0</v>
      </c>
      <c r="J114" s="113">
        <f>SUM(J128:J129)</f>
        <v>0</v>
      </c>
      <c r="K114" s="113">
        <f>SUM(K128:K129)</f>
        <v>0</v>
      </c>
      <c r="L114" s="113">
        <f>SUM(L128:L129)</f>
        <v>0</v>
      </c>
      <c r="M114" s="69">
        <f>SUM(I114:L114)</f>
        <v>0</v>
      </c>
    </row>
    <row r="115" spans="1:13" ht="12.75" hidden="1" customHeight="1" outlineLevel="1" x14ac:dyDescent="0.2">
      <c r="A115" s="114" t="str">
        <f>"   "&amp;Labels!B183</f>
        <v xml:space="preserve">   Canoes</v>
      </c>
      <c r="B115" s="113">
        <f>SUM(B132:B133)</f>
        <v>0</v>
      </c>
      <c r="C115" s="69">
        <f>SUM(B132:B133)</f>
        <v>0</v>
      </c>
      <c r="D115" s="113">
        <f>SUM(D132:D133)</f>
        <v>0</v>
      </c>
      <c r="E115" s="113">
        <f>SUM(E132:E133)</f>
        <v>0</v>
      </c>
      <c r="F115" s="113">
        <f>SUM(F132:F133)</f>
        <v>0</v>
      </c>
      <c r="G115" s="113">
        <f>SUM(G132:G133)</f>
        <v>0</v>
      </c>
      <c r="H115" s="69">
        <f>SUM(D115:G115)</f>
        <v>0</v>
      </c>
      <c r="I115" s="113">
        <f>SUM(I132:I133)</f>
        <v>0</v>
      </c>
      <c r="J115" s="113">
        <f>SUM(J132:J133)</f>
        <v>0</v>
      </c>
      <c r="K115" s="113">
        <f>SUM(K132:K133)</f>
        <v>0</v>
      </c>
      <c r="L115" s="113">
        <f>SUM(L132:L133)</f>
        <v>0</v>
      </c>
      <c r="M115" s="69">
        <f>SUM(I115:L115)</f>
        <v>0</v>
      </c>
    </row>
    <row r="116" spans="1:13" ht="12.75" hidden="1" customHeight="1" outlineLevel="1" x14ac:dyDescent="0.2">
      <c r="A116" s="117" t="str">
        <f>"   "&amp;Labels!C181</f>
        <v xml:space="preserve">   Total</v>
      </c>
      <c r="B116" s="120">
        <f>SUM(B114:B115)</f>
        <v>0</v>
      </c>
      <c r="C116" s="69">
        <f>SUM(B114:B115)</f>
        <v>0</v>
      </c>
      <c r="D116" s="120">
        <f>SUM(D114:D115)</f>
        <v>0</v>
      </c>
      <c r="E116" s="120">
        <f>SUM(E114:E115)</f>
        <v>0</v>
      </c>
      <c r="F116" s="120">
        <f>SUM(F114:F115)</f>
        <v>0</v>
      </c>
      <c r="G116" s="120">
        <f>SUM(G114:G115)</f>
        <v>0</v>
      </c>
      <c r="H116" s="69">
        <f>SUM(D116:G116)</f>
        <v>0</v>
      </c>
      <c r="I116" s="120">
        <f>SUM(I114:I115)</f>
        <v>0</v>
      </c>
      <c r="J116" s="120">
        <f>SUM(J114:J115)</f>
        <v>0</v>
      </c>
      <c r="K116" s="120">
        <f>SUM(K114:K115)</f>
        <v>0</v>
      </c>
      <c r="L116" s="120">
        <f>SUM(L114:L115)</f>
        <v>0</v>
      </c>
      <c r="M116" s="69">
        <f>SUM(I116:L116)</f>
        <v>0</v>
      </c>
    </row>
    <row r="117" spans="1:13" ht="12.75" hidden="1" customHeight="1" outlineLevel="1" x14ac:dyDescent="0.2">
      <c r="A117" s="12"/>
      <c r="B117" s="10"/>
      <c r="C117" s="12"/>
      <c r="D117" s="10"/>
      <c r="E117" s="10"/>
      <c r="F117" s="10"/>
      <c r="G117" s="10"/>
      <c r="H117" s="12"/>
      <c r="I117" s="10"/>
      <c r="J117" s="10"/>
      <c r="K117" s="10"/>
      <c r="L117" s="10"/>
      <c r="M117" s="12"/>
    </row>
    <row r="118" spans="1:13" ht="12.75" hidden="1" customHeight="1" outlineLevel="1" x14ac:dyDescent="0.2">
      <c r="A118" s="117" t="str">
        <f>Labels!B131</f>
        <v>Working Capital</v>
      </c>
      <c r="B118" s="120"/>
      <c r="C118" s="69"/>
      <c r="D118" s="120"/>
      <c r="E118" s="120"/>
      <c r="F118" s="120"/>
      <c r="G118" s="120"/>
      <c r="H118" s="69"/>
      <c r="I118" s="120"/>
      <c r="J118" s="120"/>
      <c r="K118" s="120"/>
      <c r="L118" s="120"/>
      <c r="M118" s="69"/>
    </row>
    <row r="119" spans="1:13" ht="12.75" hidden="1" customHeight="1" outlineLevel="1" x14ac:dyDescent="0.2">
      <c r="A119" s="114" t="str">
        <f>"   "&amp;Labels!B182</f>
        <v xml:space="preserve">   Catamarans</v>
      </c>
      <c r="B119" s="113">
        <f>SUM(B145:B146)</f>
        <v>0</v>
      </c>
      <c r="C119" s="69">
        <f>SUM(B145:B146)</f>
        <v>0</v>
      </c>
      <c r="D119" s="113">
        <f>SUM(D145:D146)</f>
        <v>0</v>
      </c>
      <c r="E119" s="113">
        <f>SUM(E145:E146)</f>
        <v>0</v>
      </c>
      <c r="F119" s="113">
        <f>SUM(F145:F146)</f>
        <v>0</v>
      </c>
      <c r="G119" s="113">
        <f>SUM(G145:G146)</f>
        <v>0</v>
      </c>
      <c r="H119" s="69">
        <f>SUM(G145:G146)</f>
        <v>0</v>
      </c>
      <c r="I119" s="113">
        <f>SUM(I145:I146)</f>
        <v>0</v>
      </c>
      <c r="J119" s="113">
        <f>SUM(J145:J146)</f>
        <v>0</v>
      </c>
      <c r="K119" s="113">
        <f>SUM(K145:K146)</f>
        <v>0</v>
      </c>
      <c r="L119" s="113">
        <f>SUM(L145:L146)</f>
        <v>0</v>
      </c>
      <c r="M119" s="69">
        <f>SUM(L145:L146)</f>
        <v>0</v>
      </c>
    </row>
    <row r="120" spans="1:13" ht="12.75" hidden="1" customHeight="1" outlineLevel="1" x14ac:dyDescent="0.2">
      <c r="A120" s="114" t="str">
        <f>"   "&amp;Labels!B183</f>
        <v xml:space="preserve">   Canoes</v>
      </c>
      <c r="B120" s="113">
        <f>SUM(B149:B150)</f>
        <v>0</v>
      </c>
      <c r="C120" s="69">
        <f>SUM(B149:B150)</f>
        <v>0</v>
      </c>
      <c r="D120" s="113">
        <f>SUM(D149:D150)</f>
        <v>0</v>
      </c>
      <c r="E120" s="113">
        <f>SUM(E149:E150)</f>
        <v>0</v>
      </c>
      <c r="F120" s="113">
        <f>SUM(F149:F150)</f>
        <v>0</v>
      </c>
      <c r="G120" s="113">
        <f>SUM(G149:G150)</f>
        <v>0</v>
      </c>
      <c r="H120" s="69">
        <f>SUM(G149:G150)</f>
        <v>0</v>
      </c>
      <c r="I120" s="113">
        <f>SUM(I149:I150)</f>
        <v>0</v>
      </c>
      <c r="J120" s="113">
        <f>SUM(J149:J150)</f>
        <v>0</v>
      </c>
      <c r="K120" s="113">
        <f>SUM(K149:K150)</f>
        <v>0</v>
      </c>
      <c r="L120" s="113">
        <f>SUM(L149:L150)</f>
        <v>0</v>
      </c>
      <c r="M120" s="69">
        <f>SUM(L149:L150)</f>
        <v>0</v>
      </c>
    </row>
    <row r="121" spans="1:13" ht="12.75" hidden="1" customHeight="1" outlineLevel="1" x14ac:dyDescent="0.2">
      <c r="A121" s="121" t="str">
        <f>"   "&amp;Labels!C181</f>
        <v xml:space="preserve">   Total</v>
      </c>
      <c r="B121" s="132">
        <f>SUM(B119:B120)</f>
        <v>0</v>
      </c>
      <c r="C121" s="70">
        <f>SUM(B119:B120)</f>
        <v>0</v>
      </c>
      <c r="D121" s="132">
        <f>SUM(D119:D120)</f>
        <v>0</v>
      </c>
      <c r="E121" s="132">
        <f>SUM(E119:E120)</f>
        <v>0</v>
      </c>
      <c r="F121" s="132">
        <f>SUM(F119:F120)</f>
        <v>0</v>
      </c>
      <c r="G121" s="132">
        <f>SUM(G119:G120)</f>
        <v>0</v>
      </c>
      <c r="H121" s="70">
        <f>SUM(G119:G120)</f>
        <v>0</v>
      </c>
      <c r="I121" s="132">
        <f>SUM(I119:I120)</f>
        <v>0</v>
      </c>
      <c r="J121" s="132">
        <f>SUM(J119:J120)</f>
        <v>0</v>
      </c>
      <c r="K121" s="132">
        <f>SUM(K119:K120)</f>
        <v>0</v>
      </c>
      <c r="L121" s="132">
        <f>SUM(L119:L120)</f>
        <v>0</v>
      </c>
      <c r="M121" s="70">
        <f>SUM(L119:L120)</f>
        <v>0</v>
      </c>
    </row>
    <row r="122" spans="1:13" ht="12.75" hidden="1" customHeight="1" outlineLevel="1" x14ac:dyDescent="0.2"/>
    <row r="123" spans="1:13" ht="12.75" hidden="1" customHeight="1" outlineLevel="1" x14ac:dyDescent="0.2">
      <c r="A123" s="272" t="str">
        <f>"CF Working Capital - Detail"</f>
        <v>CF Working Capital - Detail</v>
      </c>
      <c r="B123" s="272"/>
    </row>
    <row r="124" spans="1:13" ht="12.75" hidden="1" customHeight="1" outlineLevel="2" x14ac:dyDescent="0.2">
      <c r="A124" s="272" t="str">
        <f>" "</f>
        <v xml:space="preserve"> </v>
      </c>
      <c r="B124" s="272"/>
    </row>
    <row r="125" spans="1:13" ht="12.75" hidden="1" customHeight="1" outlineLevel="2" x14ac:dyDescent="0.2">
      <c r="B125" s="17" t="str">
        <f>'(FnCalls 1)'!G6</f>
        <v>Q4 2010</v>
      </c>
      <c r="C125" s="62" t="str">
        <f>'(FnCalls 1)'!H4</f>
        <v>2010</v>
      </c>
      <c r="D125" s="18" t="str">
        <f>'(FnCalls 1)'!G7</f>
        <v>Q1 2011</v>
      </c>
      <c r="E125" s="18" t="str">
        <f>'(FnCalls 1)'!G8</f>
        <v>Q2 2011</v>
      </c>
      <c r="F125" s="18" t="str">
        <f>'(FnCalls 1)'!G9</f>
        <v>Q3 2011</v>
      </c>
      <c r="G125" s="18" t="str">
        <f>'(FnCalls 1)'!G10</f>
        <v>Q4 2011</v>
      </c>
      <c r="H125" s="62" t="str">
        <f>'(FnCalls 1)'!H7</f>
        <v>2011</v>
      </c>
      <c r="I125" s="18" t="str">
        <f>'(FnCalls 1)'!G11</f>
        <v>Q1 2012</v>
      </c>
      <c r="J125" s="18" t="str">
        <f>'(FnCalls 1)'!G12</f>
        <v>Q2 2012</v>
      </c>
      <c r="K125" s="18" t="str">
        <f>'(FnCalls 1)'!G13</f>
        <v>Q3 2012</v>
      </c>
      <c r="L125" s="18" t="str">
        <f>'(FnCalls 1)'!G14</f>
        <v>Q4 2012</v>
      </c>
      <c r="M125" s="62" t="str">
        <f>'(FnCalls 1)'!H11</f>
        <v>2012</v>
      </c>
    </row>
    <row r="126" spans="1:13" ht="12.75" hidden="1" customHeight="1" outlineLevel="2" x14ac:dyDescent="0.2">
      <c r="A126" s="111" t="str">
        <f>Labels!B21</f>
        <v>Cash Flow - Working Cap</v>
      </c>
      <c r="B126" s="110"/>
      <c r="C126" s="75"/>
      <c r="D126" s="110"/>
      <c r="E126" s="110"/>
      <c r="F126" s="110"/>
      <c r="G126" s="110"/>
      <c r="H126" s="75"/>
      <c r="I126" s="110"/>
      <c r="J126" s="110"/>
      <c r="K126" s="110"/>
      <c r="L126" s="110"/>
      <c r="M126" s="75"/>
    </row>
    <row r="127" spans="1:13" ht="12.75" hidden="1" customHeight="1" outlineLevel="2" x14ac:dyDescent="0.2">
      <c r="A127" s="114" t="str">
        <f>"   "&amp;Labels!B182</f>
        <v xml:space="preserve">   Catamarans</v>
      </c>
      <c r="B127" s="113"/>
      <c r="C127" s="69"/>
      <c r="D127" s="113"/>
      <c r="E127" s="113"/>
      <c r="F127" s="113"/>
      <c r="G127" s="113"/>
      <c r="H127" s="69"/>
      <c r="I127" s="113"/>
      <c r="J127" s="113"/>
      <c r="K127" s="113"/>
      <c r="L127" s="113"/>
      <c r="M127" s="69"/>
    </row>
    <row r="128" spans="1:13" ht="12.75" hidden="1" customHeight="1" outlineLevel="2" x14ac:dyDescent="0.2">
      <c r="A128" s="144" t="str">
        <f>"      "&amp;Labels!B190</f>
        <v xml:space="preserve">      Receivables</v>
      </c>
      <c r="B128" s="159">
        <f>'Equity Fin'!B119</f>
        <v>0</v>
      </c>
      <c r="C128" s="69">
        <f>'Equity Fin'!B119</f>
        <v>0</v>
      </c>
      <c r="D128" s="159">
        <f>'Equity Fin'!D119</f>
        <v>0</v>
      </c>
      <c r="E128" s="159">
        <f>'Equity Fin'!E119</f>
        <v>0</v>
      </c>
      <c r="F128" s="159">
        <f>'Equity Fin'!F119</f>
        <v>0</v>
      </c>
      <c r="G128" s="159">
        <f>'Equity Fin'!G119</f>
        <v>0</v>
      </c>
      <c r="H128" s="69">
        <f>SUM(D128:G128)</f>
        <v>0</v>
      </c>
      <c r="I128" s="159">
        <f>'Equity Fin'!I119</f>
        <v>0</v>
      </c>
      <c r="J128" s="159">
        <f>'Equity Fin'!J119</f>
        <v>0</v>
      </c>
      <c r="K128" s="159">
        <f>'Equity Fin'!K119</f>
        <v>0</v>
      </c>
      <c r="L128" s="159">
        <f>'Equity Fin'!L119</f>
        <v>0</v>
      </c>
      <c r="M128" s="69">
        <f>SUM(I128:L128)</f>
        <v>0</v>
      </c>
    </row>
    <row r="129" spans="1:13" ht="12.75" hidden="1" customHeight="1" outlineLevel="2" x14ac:dyDescent="0.2">
      <c r="A129" s="144" t="str">
        <f>"      "&amp;Labels!B191</f>
        <v xml:space="preserve">      Supplies inventory</v>
      </c>
      <c r="B129" s="159">
        <f>'Equity Fin'!B120</f>
        <v>0</v>
      </c>
      <c r="C129" s="69">
        <f>'Equity Fin'!B120</f>
        <v>0</v>
      </c>
      <c r="D129" s="159">
        <f>'Equity Fin'!D120</f>
        <v>0</v>
      </c>
      <c r="E129" s="159">
        <f>'Equity Fin'!E120</f>
        <v>0</v>
      </c>
      <c r="F129" s="159">
        <f>'Equity Fin'!F120</f>
        <v>0</v>
      </c>
      <c r="G129" s="159">
        <f>'Equity Fin'!G120</f>
        <v>0</v>
      </c>
      <c r="H129" s="69">
        <f>SUM(D129:G129)</f>
        <v>0</v>
      </c>
      <c r="I129" s="159">
        <f>'Equity Fin'!I120</f>
        <v>0</v>
      </c>
      <c r="J129" s="159">
        <f>'Equity Fin'!J120</f>
        <v>0</v>
      </c>
      <c r="K129" s="159">
        <f>'Equity Fin'!K120</f>
        <v>0</v>
      </c>
      <c r="L129" s="159">
        <f>'Equity Fin'!L120</f>
        <v>0</v>
      </c>
      <c r="M129" s="69">
        <f>SUM(I129:L129)</f>
        <v>0</v>
      </c>
    </row>
    <row r="130" spans="1:13" ht="12.75" hidden="1" customHeight="1" outlineLevel="2" x14ac:dyDescent="0.2">
      <c r="A130" s="114" t="str">
        <f>"      "&amp;Labels!C189</f>
        <v xml:space="preserve">      Total</v>
      </c>
      <c r="B130" s="113">
        <f>SUM(B128:B129)</f>
        <v>0</v>
      </c>
      <c r="C130" s="69">
        <f>SUM(B128:B129)</f>
        <v>0</v>
      </c>
      <c r="D130" s="113">
        <f>SUM(D128:D129)</f>
        <v>0</v>
      </c>
      <c r="E130" s="113">
        <f>SUM(E128:E129)</f>
        <v>0</v>
      </c>
      <c r="F130" s="113">
        <f>SUM(F128:F129)</f>
        <v>0</v>
      </c>
      <c r="G130" s="113">
        <f>SUM(G128:G129)</f>
        <v>0</v>
      </c>
      <c r="H130" s="69">
        <f>SUM(D130:G130)</f>
        <v>0</v>
      </c>
      <c r="I130" s="113">
        <f>SUM(I128:I129)</f>
        <v>0</v>
      </c>
      <c r="J130" s="113">
        <f>SUM(J128:J129)</f>
        <v>0</v>
      </c>
      <c r="K130" s="113">
        <f>SUM(K128:K129)</f>
        <v>0</v>
      </c>
      <c r="L130" s="113">
        <f>SUM(L128:L129)</f>
        <v>0</v>
      </c>
      <c r="M130" s="69">
        <f>SUM(I130:L130)</f>
        <v>0</v>
      </c>
    </row>
    <row r="131" spans="1:13" ht="12.75" hidden="1" customHeight="1" outlineLevel="2" x14ac:dyDescent="0.2">
      <c r="A131" s="114" t="str">
        <f>"   "&amp;Labels!B183</f>
        <v xml:space="preserve">   Canoes</v>
      </c>
      <c r="B131" s="113"/>
      <c r="C131" s="69"/>
      <c r="D131" s="113"/>
      <c r="E131" s="113"/>
      <c r="F131" s="113"/>
      <c r="G131" s="113"/>
      <c r="H131" s="69"/>
      <c r="I131" s="113"/>
      <c r="J131" s="113"/>
      <c r="K131" s="113"/>
      <c r="L131" s="113"/>
      <c r="M131" s="69"/>
    </row>
    <row r="132" spans="1:13" ht="12.75" hidden="1" customHeight="1" outlineLevel="2" x14ac:dyDescent="0.2">
      <c r="A132" s="144" t="str">
        <f>"      "&amp;Labels!B190</f>
        <v xml:space="preserve">      Receivables</v>
      </c>
      <c r="B132" s="159">
        <f>'Equity Fin'!B123</f>
        <v>0</v>
      </c>
      <c r="C132" s="69">
        <f>'Equity Fin'!B123</f>
        <v>0</v>
      </c>
      <c r="D132" s="159">
        <f>'Equity Fin'!D123</f>
        <v>0</v>
      </c>
      <c r="E132" s="159">
        <f>'Equity Fin'!E123</f>
        <v>0</v>
      </c>
      <c r="F132" s="159">
        <f>'Equity Fin'!F123</f>
        <v>0</v>
      </c>
      <c r="G132" s="159">
        <f>'Equity Fin'!G123</f>
        <v>0</v>
      </c>
      <c r="H132" s="69">
        <f t="shared" ref="H132:H137" si="32">SUM(D132:G132)</f>
        <v>0</v>
      </c>
      <c r="I132" s="159">
        <f>'Equity Fin'!I123</f>
        <v>0</v>
      </c>
      <c r="J132" s="159">
        <f>'Equity Fin'!J123</f>
        <v>0</v>
      </c>
      <c r="K132" s="159">
        <f>'Equity Fin'!K123</f>
        <v>0</v>
      </c>
      <c r="L132" s="159">
        <f>'Equity Fin'!L123</f>
        <v>0</v>
      </c>
      <c r="M132" s="69">
        <f t="shared" ref="M132:M137" si="33">SUM(I132:L132)</f>
        <v>0</v>
      </c>
    </row>
    <row r="133" spans="1:13" ht="12.75" hidden="1" customHeight="1" outlineLevel="2" x14ac:dyDescent="0.2">
      <c r="A133" s="144" t="str">
        <f>"      "&amp;Labels!B191</f>
        <v xml:space="preserve">      Supplies inventory</v>
      </c>
      <c r="B133" s="159">
        <f>'Equity Fin'!B124</f>
        <v>0</v>
      </c>
      <c r="C133" s="69">
        <f>'Equity Fin'!B124</f>
        <v>0</v>
      </c>
      <c r="D133" s="159">
        <f>'Equity Fin'!D124</f>
        <v>0</v>
      </c>
      <c r="E133" s="159">
        <f>'Equity Fin'!E124</f>
        <v>0</v>
      </c>
      <c r="F133" s="159">
        <f>'Equity Fin'!F124</f>
        <v>0</v>
      </c>
      <c r="G133" s="159">
        <f>'Equity Fin'!G124</f>
        <v>0</v>
      </c>
      <c r="H133" s="69">
        <f t="shared" si="32"/>
        <v>0</v>
      </c>
      <c r="I133" s="159">
        <f>'Equity Fin'!I124</f>
        <v>0</v>
      </c>
      <c r="J133" s="159">
        <f>'Equity Fin'!J124</f>
        <v>0</v>
      </c>
      <c r="K133" s="159">
        <f>'Equity Fin'!K124</f>
        <v>0</v>
      </c>
      <c r="L133" s="159">
        <f>'Equity Fin'!L124</f>
        <v>0</v>
      </c>
      <c r="M133" s="69">
        <f t="shared" si="33"/>
        <v>0</v>
      </c>
    </row>
    <row r="134" spans="1:13" ht="12.75" hidden="1" customHeight="1" outlineLevel="2" x14ac:dyDescent="0.2">
      <c r="A134" s="114" t="str">
        <f>"      "&amp;Labels!C189</f>
        <v xml:space="preserve">      Total</v>
      </c>
      <c r="B134" s="113">
        <f>SUM(B132:B133)</f>
        <v>0</v>
      </c>
      <c r="C134" s="69">
        <f>SUM(B132:B133)</f>
        <v>0</v>
      </c>
      <c r="D134" s="113">
        <f>SUM(D132:D133)</f>
        <v>0</v>
      </c>
      <c r="E134" s="113">
        <f>SUM(E132:E133)</f>
        <v>0</v>
      </c>
      <c r="F134" s="113">
        <f>SUM(F132:F133)</f>
        <v>0</v>
      </c>
      <c r="G134" s="113">
        <f>SUM(G132:G133)</f>
        <v>0</v>
      </c>
      <c r="H134" s="69">
        <f t="shared" si="32"/>
        <v>0</v>
      </c>
      <c r="I134" s="113">
        <f>SUM(I132:I133)</f>
        <v>0</v>
      </c>
      <c r="J134" s="113">
        <f>SUM(J132:J133)</f>
        <v>0</v>
      </c>
      <c r="K134" s="113">
        <f>SUM(K132:K133)</f>
        <v>0</v>
      </c>
      <c r="L134" s="113">
        <f>SUM(L132:L133)</f>
        <v>0</v>
      </c>
      <c r="M134" s="69">
        <f t="shared" si="33"/>
        <v>0</v>
      </c>
    </row>
    <row r="135" spans="1:13" ht="12.75" hidden="1" customHeight="1" outlineLevel="2" x14ac:dyDescent="0.2">
      <c r="A135" s="117" t="str">
        <f>"   "&amp;Labels!C181</f>
        <v xml:space="preserve">   Total</v>
      </c>
      <c r="B135" s="120">
        <f>SUM(B130,B134)</f>
        <v>0</v>
      </c>
      <c r="C135" s="69">
        <f>SUM(B130,B134)</f>
        <v>0</v>
      </c>
      <c r="D135" s="120">
        <f>SUM(D130,D134)</f>
        <v>0</v>
      </c>
      <c r="E135" s="120">
        <f>SUM(E130,E134)</f>
        <v>0</v>
      </c>
      <c r="F135" s="120">
        <f>SUM(F130,F134)</f>
        <v>0</v>
      </c>
      <c r="G135" s="120">
        <f>SUM(G130,G134)</f>
        <v>0</v>
      </c>
      <c r="H135" s="69">
        <f t="shared" si="32"/>
        <v>0</v>
      </c>
      <c r="I135" s="120">
        <f>SUM(I130,I134)</f>
        <v>0</v>
      </c>
      <c r="J135" s="120">
        <f>SUM(J130,J134)</f>
        <v>0</v>
      </c>
      <c r="K135" s="120">
        <f>SUM(K130,K134)</f>
        <v>0</v>
      </c>
      <c r="L135" s="120">
        <f>SUM(L130,L134)</f>
        <v>0</v>
      </c>
      <c r="M135" s="69">
        <f t="shared" si="33"/>
        <v>0</v>
      </c>
    </row>
    <row r="136" spans="1:13" ht="12.75" hidden="1" customHeight="1" outlineLevel="2" x14ac:dyDescent="0.2">
      <c r="A136" s="144" t="str">
        <f>"      "&amp;Labels!B190</f>
        <v xml:space="preserve">      Receivables</v>
      </c>
      <c r="B136" s="159">
        <f>SUM(B128,B132)</f>
        <v>0</v>
      </c>
      <c r="C136" s="69">
        <f>SUM(B128,B132)</f>
        <v>0</v>
      </c>
      <c r="D136" s="159">
        <f t="shared" ref="D136:G138" si="34">SUM(D128,D132)</f>
        <v>0</v>
      </c>
      <c r="E136" s="159">
        <f t="shared" si="34"/>
        <v>0</v>
      </c>
      <c r="F136" s="159">
        <f t="shared" si="34"/>
        <v>0</v>
      </c>
      <c r="G136" s="159">
        <f t="shared" si="34"/>
        <v>0</v>
      </c>
      <c r="H136" s="69">
        <f t="shared" si="32"/>
        <v>0</v>
      </c>
      <c r="I136" s="159">
        <f t="shared" ref="I136:L138" si="35">SUM(I128,I132)</f>
        <v>0</v>
      </c>
      <c r="J136" s="159">
        <f t="shared" si="35"/>
        <v>0</v>
      </c>
      <c r="K136" s="159">
        <f t="shared" si="35"/>
        <v>0</v>
      </c>
      <c r="L136" s="159">
        <f t="shared" si="35"/>
        <v>0</v>
      </c>
      <c r="M136" s="69">
        <f t="shared" si="33"/>
        <v>0</v>
      </c>
    </row>
    <row r="137" spans="1:13" ht="12.75" hidden="1" customHeight="1" outlineLevel="2" x14ac:dyDescent="0.2">
      <c r="A137" s="144" t="str">
        <f>"      "&amp;Labels!B191</f>
        <v xml:space="preserve">      Supplies inventory</v>
      </c>
      <c r="B137" s="159">
        <f>SUM(B129,B133)</f>
        <v>0</v>
      </c>
      <c r="C137" s="69">
        <f>SUM(B129,B133)</f>
        <v>0</v>
      </c>
      <c r="D137" s="159">
        <f t="shared" si="34"/>
        <v>0</v>
      </c>
      <c r="E137" s="159">
        <f t="shared" si="34"/>
        <v>0</v>
      </c>
      <c r="F137" s="159">
        <f t="shared" si="34"/>
        <v>0</v>
      </c>
      <c r="G137" s="159">
        <f t="shared" si="34"/>
        <v>0</v>
      </c>
      <c r="H137" s="69">
        <f t="shared" si="32"/>
        <v>0</v>
      </c>
      <c r="I137" s="159">
        <f t="shared" si="35"/>
        <v>0</v>
      </c>
      <c r="J137" s="159">
        <f t="shared" si="35"/>
        <v>0</v>
      </c>
      <c r="K137" s="159">
        <f t="shared" si="35"/>
        <v>0</v>
      </c>
      <c r="L137" s="159">
        <f t="shared" si="35"/>
        <v>0</v>
      </c>
      <c r="M137" s="69">
        <f t="shared" si="33"/>
        <v>0</v>
      </c>
    </row>
    <row r="138" spans="1:13" ht="12.75" hidden="1" customHeight="1" outlineLevel="2" x14ac:dyDescent="0.2">
      <c r="A138" s="145" t="str">
        <f>"      "&amp;Labels!C189</f>
        <v xml:space="preserve">      Total</v>
      </c>
      <c r="B138" s="123">
        <f>SUM(B130,B134)</f>
        <v>0</v>
      </c>
      <c r="C138" s="70">
        <f>SUM(B130,B134)</f>
        <v>0</v>
      </c>
      <c r="D138" s="123">
        <f t="shared" si="34"/>
        <v>0</v>
      </c>
      <c r="E138" s="123">
        <f t="shared" si="34"/>
        <v>0</v>
      </c>
      <c r="F138" s="123">
        <f t="shared" si="34"/>
        <v>0</v>
      </c>
      <c r="G138" s="123">
        <f t="shared" si="34"/>
        <v>0</v>
      </c>
      <c r="H138" s="70">
        <f>SUM(D135:G135)</f>
        <v>0</v>
      </c>
      <c r="I138" s="123">
        <f t="shared" si="35"/>
        <v>0</v>
      </c>
      <c r="J138" s="123">
        <f t="shared" si="35"/>
        <v>0</v>
      </c>
      <c r="K138" s="123">
        <f t="shared" si="35"/>
        <v>0</v>
      </c>
      <c r="L138" s="123">
        <f t="shared" si="35"/>
        <v>0</v>
      </c>
      <c r="M138" s="70">
        <f>SUM(I135:L135)</f>
        <v>0</v>
      </c>
    </row>
    <row r="139" spans="1:13" ht="12.75" hidden="1" customHeight="1" outlineLevel="2" collapsed="1" x14ac:dyDescent="0.2"/>
    <row r="140" spans="1:13" ht="12.75" hidden="1" customHeight="1" outlineLevel="1" collapsed="1" x14ac:dyDescent="0.2">
      <c r="A140" s="3" t="str">
        <f>"Working Capital"</f>
        <v>Working Capital</v>
      </c>
    </row>
    <row r="141" spans="1:13" ht="12.75" hidden="1" customHeight="1" outlineLevel="2" x14ac:dyDescent="0.2">
      <c r="A141" s="3" t="str">
        <f>" "</f>
        <v xml:space="preserve"> </v>
      </c>
    </row>
    <row r="142" spans="1:13" ht="12.75" hidden="1" customHeight="1" outlineLevel="2" x14ac:dyDescent="0.2">
      <c r="B142" s="17" t="str">
        <f>'(FnCalls 1)'!G6</f>
        <v>Q4 2010</v>
      </c>
      <c r="C142" s="62" t="str">
        <f>'(FnCalls 1)'!H4</f>
        <v>2010</v>
      </c>
      <c r="D142" s="18" t="str">
        <f>'(FnCalls 1)'!G7</f>
        <v>Q1 2011</v>
      </c>
      <c r="E142" s="18" t="str">
        <f>'(FnCalls 1)'!G8</f>
        <v>Q2 2011</v>
      </c>
      <c r="F142" s="18" t="str">
        <f>'(FnCalls 1)'!G9</f>
        <v>Q3 2011</v>
      </c>
      <c r="G142" s="18" t="str">
        <f>'(FnCalls 1)'!G10</f>
        <v>Q4 2011</v>
      </c>
      <c r="H142" s="62" t="str">
        <f>'(FnCalls 1)'!H7</f>
        <v>2011</v>
      </c>
      <c r="I142" s="18" t="str">
        <f>'(FnCalls 1)'!G11</f>
        <v>Q1 2012</v>
      </c>
      <c r="J142" s="18" t="str">
        <f>'(FnCalls 1)'!G12</f>
        <v>Q2 2012</v>
      </c>
      <c r="K142" s="18" t="str">
        <f>'(FnCalls 1)'!G13</f>
        <v>Q3 2012</v>
      </c>
      <c r="L142" s="18" t="str">
        <f>'(FnCalls 1)'!G14</f>
        <v>Q4 2012</v>
      </c>
      <c r="M142" s="62" t="str">
        <f>'(FnCalls 1)'!H11</f>
        <v>2012</v>
      </c>
    </row>
    <row r="143" spans="1:13" ht="12.75" hidden="1" customHeight="1" outlineLevel="2" x14ac:dyDescent="0.2">
      <c r="A143" s="111" t="str">
        <f>Labels!B131</f>
        <v>Working Capital</v>
      </c>
      <c r="B143" s="110"/>
      <c r="C143" s="75"/>
      <c r="D143" s="110"/>
      <c r="E143" s="110"/>
      <c r="F143" s="110"/>
      <c r="G143" s="110"/>
      <c r="H143" s="75"/>
      <c r="I143" s="110"/>
      <c r="J143" s="110"/>
      <c r="K143" s="110"/>
      <c r="L143" s="110"/>
      <c r="M143" s="75"/>
    </row>
    <row r="144" spans="1:13" ht="12.75" hidden="1" customHeight="1" outlineLevel="2" x14ac:dyDescent="0.2">
      <c r="A144" s="114" t="str">
        <f>"   "&amp;Labels!B182</f>
        <v xml:space="preserve">   Catamarans</v>
      </c>
      <c r="B144" s="113"/>
      <c r="C144" s="69"/>
      <c r="D144" s="113"/>
      <c r="E144" s="113"/>
      <c r="F144" s="113"/>
      <c r="G144" s="113"/>
      <c r="H144" s="69"/>
      <c r="I144" s="113"/>
      <c r="J144" s="113"/>
      <c r="K144" s="113"/>
      <c r="L144" s="113"/>
      <c r="M144" s="69"/>
    </row>
    <row r="145" spans="1:13" ht="12.75" hidden="1" customHeight="1" outlineLevel="2" x14ac:dyDescent="0.2">
      <c r="A145" s="144" t="str">
        <f>"      "&amp;Labels!B190</f>
        <v xml:space="preserve">      Receivables</v>
      </c>
      <c r="B145" s="159">
        <f>Investment!B71</f>
        <v>0</v>
      </c>
      <c r="C145" s="69">
        <f>Investment!B71</f>
        <v>0</v>
      </c>
      <c r="D145" s="159">
        <f>Investment!D71</f>
        <v>0</v>
      </c>
      <c r="E145" s="159">
        <f>Investment!E71</f>
        <v>0</v>
      </c>
      <c r="F145" s="159">
        <f>Investment!F71</f>
        <v>0</v>
      </c>
      <c r="G145" s="159">
        <f>Investment!G71</f>
        <v>0</v>
      </c>
      <c r="H145" s="69">
        <f>Investment!G71</f>
        <v>0</v>
      </c>
      <c r="I145" s="159">
        <f>Investment!I71</f>
        <v>0</v>
      </c>
      <c r="J145" s="159">
        <f>Investment!J71</f>
        <v>0</v>
      </c>
      <c r="K145" s="159">
        <f>Investment!K71</f>
        <v>0</v>
      </c>
      <c r="L145" s="159">
        <f>Investment!L71</f>
        <v>0</v>
      </c>
      <c r="M145" s="69">
        <f>Investment!L71</f>
        <v>0</v>
      </c>
    </row>
    <row r="146" spans="1:13" ht="12.75" hidden="1" customHeight="1" outlineLevel="2" x14ac:dyDescent="0.2">
      <c r="A146" s="144" t="str">
        <f>"      "&amp;Labels!B191</f>
        <v xml:space="preserve">      Supplies inventory</v>
      </c>
      <c r="B146" s="159">
        <f>Investment!B72</f>
        <v>0</v>
      </c>
      <c r="C146" s="69">
        <f>Investment!B72</f>
        <v>0</v>
      </c>
      <c r="D146" s="159">
        <f>Investment!D72</f>
        <v>0</v>
      </c>
      <c r="E146" s="159">
        <f>Investment!E72</f>
        <v>0</v>
      </c>
      <c r="F146" s="159">
        <f>Investment!F72</f>
        <v>0</v>
      </c>
      <c r="G146" s="159">
        <f>Investment!G72</f>
        <v>0</v>
      </c>
      <c r="H146" s="69">
        <f>Investment!G72</f>
        <v>0</v>
      </c>
      <c r="I146" s="159">
        <f>Investment!I72</f>
        <v>0</v>
      </c>
      <c r="J146" s="159">
        <f>Investment!J72</f>
        <v>0</v>
      </c>
      <c r="K146" s="159">
        <f>Investment!K72</f>
        <v>0</v>
      </c>
      <c r="L146" s="159">
        <f>Investment!L72</f>
        <v>0</v>
      </c>
      <c r="M146" s="69">
        <f>Investment!L72</f>
        <v>0</v>
      </c>
    </row>
    <row r="147" spans="1:13" ht="12.75" hidden="1" customHeight="1" outlineLevel="2" x14ac:dyDescent="0.2">
      <c r="A147" s="114" t="str">
        <f>"      "&amp;Labels!C189</f>
        <v xml:space="preserve">      Total</v>
      </c>
      <c r="B147" s="113">
        <f>SUM(B145:B146)</f>
        <v>0</v>
      </c>
      <c r="C147" s="69">
        <f>SUM(B145:B146)</f>
        <v>0</v>
      </c>
      <c r="D147" s="113">
        <f>SUM(D145:D146)</f>
        <v>0</v>
      </c>
      <c r="E147" s="113">
        <f>SUM(E145:E146)</f>
        <v>0</v>
      </c>
      <c r="F147" s="113">
        <f>SUM(F145:F146)</f>
        <v>0</v>
      </c>
      <c r="G147" s="113">
        <f>SUM(G145:G146)</f>
        <v>0</v>
      </c>
      <c r="H147" s="69">
        <f>SUM(G145:G146)</f>
        <v>0</v>
      </c>
      <c r="I147" s="113">
        <f>SUM(I145:I146)</f>
        <v>0</v>
      </c>
      <c r="J147" s="113">
        <f>SUM(J145:J146)</f>
        <v>0</v>
      </c>
      <c r="K147" s="113">
        <f>SUM(K145:K146)</f>
        <v>0</v>
      </c>
      <c r="L147" s="113">
        <f>SUM(L145:L146)</f>
        <v>0</v>
      </c>
      <c r="M147" s="69">
        <f>SUM(L145:L146)</f>
        <v>0</v>
      </c>
    </row>
    <row r="148" spans="1:13" ht="12.75" hidden="1" customHeight="1" outlineLevel="2" x14ac:dyDescent="0.2">
      <c r="A148" s="114" t="str">
        <f>"   "&amp;Labels!B183</f>
        <v xml:space="preserve">   Canoes</v>
      </c>
      <c r="B148" s="113"/>
      <c r="C148" s="69"/>
      <c r="D148" s="113"/>
      <c r="E148" s="113"/>
      <c r="F148" s="113"/>
      <c r="G148" s="113"/>
      <c r="H148" s="69"/>
      <c r="I148" s="113"/>
      <c r="J148" s="113"/>
      <c r="K148" s="113"/>
      <c r="L148" s="113"/>
      <c r="M148" s="69"/>
    </row>
    <row r="149" spans="1:13" ht="12.75" hidden="1" customHeight="1" outlineLevel="2" x14ac:dyDescent="0.2">
      <c r="A149" s="144" t="str">
        <f>"      "&amp;Labels!B190</f>
        <v xml:space="preserve">      Receivables</v>
      </c>
      <c r="B149" s="159">
        <f>Investment!B75</f>
        <v>0</v>
      </c>
      <c r="C149" s="69">
        <f>Investment!B75</f>
        <v>0</v>
      </c>
      <c r="D149" s="159">
        <f>Investment!D75</f>
        <v>0</v>
      </c>
      <c r="E149" s="159">
        <f>Investment!E75</f>
        <v>0</v>
      </c>
      <c r="F149" s="159">
        <f>Investment!F75</f>
        <v>0</v>
      </c>
      <c r="G149" s="159">
        <f>Investment!G75</f>
        <v>0</v>
      </c>
      <c r="H149" s="69">
        <f>Investment!G75</f>
        <v>0</v>
      </c>
      <c r="I149" s="159">
        <f>Investment!I75</f>
        <v>0</v>
      </c>
      <c r="J149" s="159">
        <f>Investment!J75</f>
        <v>0</v>
      </c>
      <c r="K149" s="159">
        <f>Investment!K75</f>
        <v>0</v>
      </c>
      <c r="L149" s="159">
        <f>Investment!L75</f>
        <v>0</v>
      </c>
      <c r="M149" s="69">
        <f>Investment!L75</f>
        <v>0</v>
      </c>
    </row>
    <row r="150" spans="1:13" ht="12.75" hidden="1" customHeight="1" outlineLevel="2" x14ac:dyDescent="0.2">
      <c r="A150" s="144" t="str">
        <f>"      "&amp;Labels!B191</f>
        <v xml:space="preserve">      Supplies inventory</v>
      </c>
      <c r="B150" s="159">
        <f>Investment!B76</f>
        <v>0</v>
      </c>
      <c r="C150" s="69">
        <f>Investment!B76</f>
        <v>0</v>
      </c>
      <c r="D150" s="159">
        <f>Investment!D76</f>
        <v>0</v>
      </c>
      <c r="E150" s="159">
        <f>Investment!E76</f>
        <v>0</v>
      </c>
      <c r="F150" s="159">
        <f>Investment!F76</f>
        <v>0</v>
      </c>
      <c r="G150" s="159">
        <f>Investment!G76</f>
        <v>0</v>
      </c>
      <c r="H150" s="69">
        <f>Investment!G76</f>
        <v>0</v>
      </c>
      <c r="I150" s="159">
        <f>Investment!I76</f>
        <v>0</v>
      </c>
      <c r="J150" s="159">
        <f>Investment!J76</f>
        <v>0</v>
      </c>
      <c r="K150" s="159">
        <f>Investment!K76</f>
        <v>0</v>
      </c>
      <c r="L150" s="159">
        <f>Investment!L76</f>
        <v>0</v>
      </c>
      <c r="M150" s="69">
        <f>Investment!L76</f>
        <v>0</v>
      </c>
    </row>
    <row r="151" spans="1:13" ht="12.75" hidden="1" customHeight="1" outlineLevel="2" x14ac:dyDescent="0.2">
      <c r="A151" s="114" t="str">
        <f>"      "&amp;Labels!C189</f>
        <v xml:space="preserve">      Total</v>
      </c>
      <c r="B151" s="113">
        <f>SUM(B149:B150)</f>
        <v>0</v>
      </c>
      <c r="C151" s="69">
        <f>SUM(B149:B150)</f>
        <v>0</v>
      </c>
      <c r="D151" s="113">
        <f>SUM(D149:D150)</f>
        <v>0</v>
      </c>
      <c r="E151" s="113">
        <f>SUM(E149:E150)</f>
        <v>0</v>
      </c>
      <c r="F151" s="113">
        <f>SUM(F149:F150)</f>
        <v>0</v>
      </c>
      <c r="G151" s="113">
        <f>SUM(G149:G150)</f>
        <v>0</v>
      </c>
      <c r="H151" s="69">
        <f>SUM(G149:G150)</f>
        <v>0</v>
      </c>
      <c r="I151" s="113">
        <f>SUM(I149:I150)</f>
        <v>0</v>
      </c>
      <c r="J151" s="113">
        <f>SUM(J149:J150)</f>
        <v>0</v>
      </c>
      <c r="K151" s="113">
        <f>SUM(K149:K150)</f>
        <v>0</v>
      </c>
      <c r="L151" s="113">
        <f>SUM(L149:L150)</f>
        <v>0</v>
      </c>
      <c r="M151" s="69">
        <f>SUM(L149:L150)</f>
        <v>0</v>
      </c>
    </row>
    <row r="152" spans="1:13" ht="12.75" hidden="1" customHeight="1" outlineLevel="2" x14ac:dyDescent="0.2">
      <c r="A152" s="117" t="str">
        <f>"   "&amp;Labels!C181</f>
        <v xml:space="preserve">   Total</v>
      </c>
      <c r="B152" s="120">
        <f>SUM(B147,B151)</f>
        <v>0</v>
      </c>
      <c r="C152" s="69">
        <f>SUM(B147,B151)</f>
        <v>0</v>
      </c>
      <c r="D152" s="120">
        <f>SUM(D147,D151)</f>
        <v>0</v>
      </c>
      <c r="E152" s="120">
        <f>SUM(E147,E151)</f>
        <v>0</v>
      </c>
      <c r="F152" s="120">
        <f>SUM(F147,F151)</f>
        <v>0</v>
      </c>
      <c r="G152" s="120">
        <f>SUM(G147,G151)</f>
        <v>0</v>
      </c>
      <c r="H152" s="69">
        <f>SUM(G147,G151)</f>
        <v>0</v>
      </c>
      <c r="I152" s="120">
        <f>SUM(I147,I151)</f>
        <v>0</v>
      </c>
      <c r="J152" s="120">
        <f>SUM(J147,J151)</f>
        <v>0</v>
      </c>
      <c r="K152" s="120">
        <f>SUM(K147,K151)</f>
        <v>0</v>
      </c>
      <c r="L152" s="120">
        <f>SUM(L147,L151)</f>
        <v>0</v>
      </c>
      <c r="M152" s="69">
        <f>SUM(L147,L151)</f>
        <v>0</v>
      </c>
    </row>
    <row r="153" spans="1:13" ht="12.75" hidden="1" customHeight="1" outlineLevel="2" x14ac:dyDescent="0.2">
      <c r="A153" s="144" t="str">
        <f>"      "&amp;Labels!B190</f>
        <v xml:space="preserve">      Receivables</v>
      </c>
      <c r="B153" s="159">
        <f>SUM(B145,B149)</f>
        <v>0</v>
      </c>
      <c r="C153" s="69">
        <f>SUM(B145,B149)</f>
        <v>0</v>
      </c>
      <c r="D153" s="159">
        <f t="shared" ref="D153:G155" si="36">SUM(D145,D149)</f>
        <v>0</v>
      </c>
      <c r="E153" s="159">
        <f t="shared" si="36"/>
        <v>0</v>
      </c>
      <c r="F153" s="159">
        <f t="shared" si="36"/>
        <v>0</v>
      </c>
      <c r="G153" s="159">
        <f t="shared" si="36"/>
        <v>0</v>
      </c>
      <c r="H153" s="69">
        <f>SUM(G145,G149)</f>
        <v>0</v>
      </c>
      <c r="I153" s="159">
        <f t="shared" ref="I153:L155" si="37">SUM(I145,I149)</f>
        <v>0</v>
      </c>
      <c r="J153" s="159">
        <f t="shared" si="37"/>
        <v>0</v>
      </c>
      <c r="K153" s="159">
        <f t="shared" si="37"/>
        <v>0</v>
      </c>
      <c r="L153" s="159">
        <f t="shared" si="37"/>
        <v>0</v>
      </c>
      <c r="M153" s="69">
        <f>SUM(L145,L149)</f>
        <v>0</v>
      </c>
    </row>
    <row r="154" spans="1:13" ht="12.75" hidden="1" customHeight="1" outlineLevel="2" x14ac:dyDescent="0.2">
      <c r="A154" s="144" t="str">
        <f>"      "&amp;Labels!B191</f>
        <v xml:space="preserve">      Supplies inventory</v>
      </c>
      <c r="B154" s="159">
        <f>SUM(B146,B150)</f>
        <v>0</v>
      </c>
      <c r="C154" s="69">
        <f>SUM(B146,B150)</f>
        <v>0</v>
      </c>
      <c r="D154" s="159">
        <f t="shared" si="36"/>
        <v>0</v>
      </c>
      <c r="E154" s="159">
        <f t="shared" si="36"/>
        <v>0</v>
      </c>
      <c r="F154" s="159">
        <f t="shared" si="36"/>
        <v>0</v>
      </c>
      <c r="G154" s="159">
        <f t="shared" si="36"/>
        <v>0</v>
      </c>
      <c r="H154" s="69">
        <f>SUM(G146,G150)</f>
        <v>0</v>
      </c>
      <c r="I154" s="159">
        <f t="shared" si="37"/>
        <v>0</v>
      </c>
      <c r="J154" s="159">
        <f t="shared" si="37"/>
        <v>0</v>
      </c>
      <c r="K154" s="159">
        <f t="shared" si="37"/>
        <v>0</v>
      </c>
      <c r="L154" s="159">
        <f t="shared" si="37"/>
        <v>0</v>
      </c>
      <c r="M154" s="69">
        <f>SUM(L146,L150)</f>
        <v>0</v>
      </c>
    </row>
    <row r="155" spans="1:13" ht="12.75" hidden="1" customHeight="1" outlineLevel="2" x14ac:dyDescent="0.2">
      <c r="A155" s="145" t="str">
        <f>"      "&amp;Labels!C189</f>
        <v xml:space="preserve">      Total</v>
      </c>
      <c r="B155" s="123">
        <f>SUM(B147,B151)</f>
        <v>0</v>
      </c>
      <c r="C155" s="70">
        <f>SUM(B147,B151)</f>
        <v>0</v>
      </c>
      <c r="D155" s="123">
        <f t="shared" si="36"/>
        <v>0</v>
      </c>
      <c r="E155" s="123">
        <f t="shared" si="36"/>
        <v>0</v>
      </c>
      <c r="F155" s="123">
        <f t="shared" si="36"/>
        <v>0</v>
      </c>
      <c r="G155" s="123">
        <f t="shared" si="36"/>
        <v>0</v>
      </c>
      <c r="H155" s="70">
        <f>SUM(G147,G151)</f>
        <v>0</v>
      </c>
      <c r="I155" s="123">
        <f t="shared" si="37"/>
        <v>0</v>
      </c>
      <c r="J155" s="123">
        <f t="shared" si="37"/>
        <v>0</v>
      </c>
      <c r="K155" s="123">
        <f t="shared" si="37"/>
        <v>0</v>
      </c>
      <c r="L155" s="123">
        <f t="shared" si="37"/>
        <v>0</v>
      </c>
      <c r="M155" s="70">
        <f>SUM(L147,L151)</f>
        <v>0</v>
      </c>
    </row>
    <row r="156" spans="1:13" ht="12.75" hidden="1" customHeight="1" outlineLevel="2" collapsed="1" x14ac:dyDescent="0.2"/>
    <row r="157" spans="1:13" ht="12.75" hidden="1" customHeight="1" outlineLevel="1" collapsed="1" x14ac:dyDescent="0.2"/>
    <row r="158" spans="1:13" ht="12.75" customHeight="1" collapsed="1" x14ac:dyDescent="0.2"/>
    <row r="160" spans="1:13" ht="12.75" customHeight="1" x14ac:dyDescent="0.2">
      <c r="A160" s="271" t="str">
        <f>"Valuation"</f>
        <v>Valuation</v>
      </c>
      <c r="B160" s="271"/>
    </row>
    <row r="161" spans="1:13" ht="12.75" hidden="1" customHeight="1" outlineLevel="1" x14ac:dyDescent="0.2">
      <c r="A161" s="271" t="str">
        <f>""</f>
        <v/>
      </c>
      <c r="B161" s="271"/>
    </row>
    <row r="162" spans="1:13" ht="12.75" hidden="1" customHeight="1" outlineLevel="1" x14ac:dyDescent="0.2">
      <c r="A162" s="3" t="str">
        <f>"Discounted Cash Flow"</f>
        <v>Discounted Cash Flow</v>
      </c>
    </row>
    <row r="163" spans="1:13" ht="12.75" hidden="1" customHeight="1" outlineLevel="2" x14ac:dyDescent="0.2">
      <c r="A163" s="3" t="str">
        <f>" "</f>
        <v xml:space="preserve"> </v>
      </c>
    </row>
    <row r="164" spans="1:13" ht="12.75" hidden="1" customHeight="1" outlineLevel="2" x14ac:dyDescent="0.2">
      <c r="B164" s="17" t="str">
        <f>'(FnCalls 1)'!G6</f>
        <v>Q4 2010</v>
      </c>
      <c r="C164" s="62" t="str">
        <f>'(FnCalls 1)'!H4</f>
        <v>2010</v>
      </c>
      <c r="D164" s="18" t="str">
        <f>'(FnCalls 1)'!G7</f>
        <v>Q1 2011</v>
      </c>
      <c r="E164" s="18" t="str">
        <f>'(FnCalls 1)'!G8</f>
        <v>Q2 2011</v>
      </c>
      <c r="F164" s="18" t="str">
        <f>'(FnCalls 1)'!G9</f>
        <v>Q3 2011</v>
      </c>
      <c r="G164" s="18" t="str">
        <f>'(FnCalls 1)'!G10</f>
        <v>Q4 2011</v>
      </c>
      <c r="H164" s="62" t="str">
        <f>'(FnCalls 1)'!H7</f>
        <v>2011</v>
      </c>
      <c r="I164" s="18" t="str">
        <f>'(FnCalls 1)'!G11</f>
        <v>Q1 2012</v>
      </c>
      <c r="J164" s="18" t="str">
        <f>'(FnCalls 1)'!G12</f>
        <v>Q2 2012</v>
      </c>
      <c r="K164" s="18" t="str">
        <f>'(FnCalls 1)'!G13</f>
        <v>Q3 2012</v>
      </c>
      <c r="L164" s="18" t="str">
        <f>'(FnCalls 1)'!G14</f>
        <v>Q4 2012</v>
      </c>
      <c r="M164" s="62" t="str">
        <f>'(FnCalls 1)'!H11</f>
        <v>2012</v>
      </c>
    </row>
    <row r="165" spans="1:13" ht="12.75" hidden="1" customHeight="1" outlineLevel="2" x14ac:dyDescent="0.2">
      <c r="A165" s="111" t="str">
        <f>Labels!B25</f>
        <v>Discounted Cash Flow</v>
      </c>
      <c r="B165" s="110"/>
      <c r="C165" s="75"/>
      <c r="D165" s="110"/>
      <c r="E165" s="110"/>
      <c r="F165" s="110"/>
      <c r="G165" s="110"/>
      <c r="H165" s="75"/>
      <c r="I165" s="110"/>
      <c r="J165" s="110"/>
      <c r="K165" s="110"/>
      <c r="L165" s="110"/>
      <c r="M165" s="75"/>
    </row>
    <row r="166" spans="1:13" ht="12.75" hidden="1" customHeight="1" outlineLevel="2" x14ac:dyDescent="0.2">
      <c r="A166" s="114" t="str">
        <f>"   "&amp;Labels!B135</f>
        <v xml:space="preserve">   EBITDA</v>
      </c>
      <c r="B166" s="113"/>
      <c r="C166" s="69"/>
      <c r="D166" s="113"/>
      <c r="E166" s="113"/>
      <c r="F166" s="113"/>
      <c r="G166" s="113"/>
      <c r="H166" s="69"/>
      <c r="I166" s="113"/>
      <c r="J166" s="113"/>
      <c r="K166" s="113"/>
      <c r="L166" s="113"/>
      <c r="M166" s="69"/>
    </row>
    <row r="167" spans="1:13" ht="12.75" hidden="1" customHeight="1" outlineLevel="2" x14ac:dyDescent="0.2">
      <c r="A167" s="144" t="str">
        <f>"      "&amp;Labels!B182</f>
        <v xml:space="preserve">      Catamarans</v>
      </c>
      <c r="B167" s="159">
        <f>B18*'(Tables)'!B279</f>
        <v>0</v>
      </c>
      <c r="C167" s="69">
        <f>B167</f>
        <v>0</v>
      </c>
      <c r="D167" s="159">
        <f>D18*'(Tables)'!D279</f>
        <v>0</v>
      </c>
      <c r="E167" s="159">
        <f>E18*'(Tables)'!E279</f>
        <v>0</v>
      </c>
      <c r="F167" s="159">
        <f>F18*'(Tables)'!F279</f>
        <v>0</v>
      </c>
      <c r="G167" s="159">
        <f>G18*'(Tables)'!G279</f>
        <v>0</v>
      </c>
      <c r="H167" s="69">
        <f>SUM(D167:G167)</f>
        <v>0</v>
      </c>
      <c r="I167" s="159">
        <f>I18*'(Tables)'!I279</f>
        <v>0</v>
      </c>
      <c r="J167" s="159">
        <f>J18*'(Tables)'!J279</f>
        <v>0</v>
      </c>
      <c r="K167" s="159">
        <f>K18*'(Tables)'!K279</f>
        <v>0</v>
      </c>
      <c r="L167" s="159">
        <f>L18*'(Tables)'!L279</f>
        <v>0</v>
      </c>
      <c r="M167" s="69">
        <f>SUM(I167:L167)</f>
        <v>0</v>
      </c>
    </row>
    <row r="168" spans="1:13" ht="12.75" hidden="1" customHeight="1" outlineLevel="2" x14ac:dyDescent="0.2">
      <c r="A168" s="144" t="str">
        <f>"      "&amp;Labels!B183</f>
        <v xml:space="preserve">      Canoes</v>
      </c>
      <c r="B168" s="159">
        <f>B28*'(Tables)'!B279</f>
        <v>0</v>
      </c>
      <c r="C168" s="69">
        <f>B168</f>
        <v>0</v>
      </c>
      <c r="D168" s="159">
        <f>D28*'(Tables)'!D279</f>
        <v>0</v>
      </c>
      <c r="E168" s="159">
        <f>E28*'(Tables)'!E279</f>
        <v>0</v>
      </c>
      <c r="F168" s="159">
        <f>F28*'(Tables)'!F279</f>
        <v>0</v>
      </c>
      <c r="G168" s="159">
        <f>G28*'(Tables)'!G279</f>
        <v>0</v>
      </c>
      <c r="H168" s="69">
        <f>SUM(D168:G168)</f>
        <v>0</v>
      </c>
      <c r="I168" s="159">
        <f>I28*'(Tables)'!I279</f>
        <v>0</v>
      </c>
      <c r="J168" s="159">
        <f>J28*'(Tables)'!J279</f>
        <v>0</v>
      </c>
      <c r="K168" s="159">
        <f>K28*'(Tables)'!K279</f>
        <v>0</v>
      </c>
      <c r="L168" s="159">
        <f>L28*'(Tables)'!L279</f>
        <v>0</v>
      </c>
      <c r="M168" s="69">
        <f>SUM(I168:L168)</f>
        <v>0</v>
      </c>
    </row>
    <row r="169" spans="1:13" ht="12.75" hidden="1" customHeight="1" outlineLevel="2" x14ac:dyDescent="0.2">
      <c r="A169" s="114" t="str">
        <f>"      "&amp;Labels!C181</f>
        <v xml:space="preserve">      Total</v>
      </c>
      <c r="B169" s="113">
        <f>SUM(B167:B168)</f>
        <v>0</v>
      </c>
      <c r="C169" s="69">
        <f>SUM(B167:B168)</f>
        <v>0</v>
      </c>
      <c r="D169" s="113">
        <f>SUM(D167:D168)</f>
        <v>0</v>
      </c>
      <c r="E169" s="113">
        <f>SUM(E167:E168)</f>
        <v>0</v>
      </c>
      <c r="F169" s="113">
        <f>SUM(F167:F168)</f>
        <v>0</v>
      </c>
      <c r="G169" s="113">
        <f>SUM(G167:G168)</f>
        <v>0</v>
      </c>
      <c r="H169" s="69">
        <f>SUM(D169:G169)</f>
        <v>0</v>
      </c>
      <c r="I169" s="113">
        <f>SUM(I167:I168)</f>
        <v>0</v>
      </c>
      <c r="J169" s="113">
        <f>SUM(J167:J168)</f>
        <v>0</v>
      </c>
      <c r="K169" s="113">
        <f>SUM(K167:K168)</f>
        <v>0</v>
      </c>
      <c r="L169" s="113">
        <f>SUM(L167:L168)</f>
        <v>0</v>
      </c>
      <c r="M169" s="69">
        <f>SUM(I169:L169)</f>
        <v>0</v>
      </c>
    </row>
    <row r="170" spans="1:13" ht="12.75" hidden="1" customHeight="1" outlineLevel="2" x14ac:dyDescent="0.2">
      <c r="A170" s="114" t="str">
        <f>"   "&amp;Labels!B136</f>
        <v xml:space="preserve">   Fixed Invest</v>
      </c>
      <c r="B170" s="113"/>
      <c r="C170" s="69"/>
      <c r="D170" s="113"/>
      <c r="E170" s="113"/>
      <c r="F170" s="113"/>
      <c r="G170" s="113"/>
      <c r="H170" s="69"/>
      <c r="I170" s="113"/>
      <c r="J170" s="113"/>
      <c r="K170" s="113"/>
      <c r="L170" s="113"/>
      <c r="M170" s="69"/>
    </row>
    <row r="171" spans="1:13" ht="12.75" hidden="1" customHeight="1" outlineLevel="2" x14ac:dyDescent="0.2">
      <c r="A171" s="144" t="str">
        <f>"      "&amp;Labels!B182</f>
        <v xml:space="preserve">      Catamarans</v>
      </c>
      <c r="B171" s="159">
        <f>B19*'(Tables)'!B279</f>
        <v>0</v>
      </c>
      <c r="C171" s="69">
        <f>B171</f>
        <v>0</v>
      </c>
      <c r="D171" s="159">
        <f>D19*'(Tables)'!D279</f>
        <v>0</v>
      </c>
      <c r="E171" s="159">
        <f>E19*'(Tables)'!E279</f>
        <v>0</v>
      </c>
      <c r="F171" s="159">
        <f>F19*'(Tables)'!F279</f>
        <v>0</v>
      </c>
      <c r="G171" s="159">
        <f>G19*'(Tables)'!G279</f>
        <v>0</v>
      </c>
      <c r="H171" s="69">
        <f>SUM(D171:G171)</f>
        <v>0</v>
      </c>
      <c r="I171" s="159">
        <f>I19*'(Tables)'!I279</f>
        <v>0</v>
      </c>
      <c r="J171" s="159">
        <f>J19*'(Tables)'!J279</f>
        <v>0</v>
      </c>
      <c r="K171" s="159">
        <f>K19*'(Tables)'!K279</f>
        <v>0</v>
      </c>
      <c r="L171" s="159">
        <f>L19*'(Tables)'!L279</f>
        <v>0</v>
      </c>
      <c r="M171" s="69">
        <f>SUM(I171:L171)</f>
        <v>0</v>
      </c>
    </row>
    <row r="172" spans="1:13" ht="12.75" hidden="1" customHeight="1" outlineLevel="2" x14ac:dyDescent="0.2">
      <c r="A172" s="144" t="str">
        <f>"      "&amp;Labels!B183</f>
        <v xml:space="preserve">      Canoes</v>
      </c>
      <c r="B172" s="159">
        <f>B29*'(Tables)'!B279</f>
        <v>0</v>
      </c>
      <c r="C172" s="69">
        <f>B172</f>
        <v>0</v>
      </c>
      <c r="D172" s="159">
        <f>D29*'(Tables)'!D279</f>
        <v>0</v>
      </c>
      <c r="E172" s="159">
        <f>E29*'(Tables)'!E279</f>
        <v>0</v>
      </c>
      <c r="F172" s="159">
        <f>F29*'(Tables)'!F279</f>
        <v>0</v>
      </c>
      <c r="G172" s="159">
        <f>G29*'(Tables)'!G279</f>
        <v>0</v>
      </c>
      <c r="H172" s="69">
        <f>SUM(D172:G172)</f>
        <v>0</v>
      </c>
      <c r="I172" s="159">
        <f>I29*'(Tables)'!I279</f>
        <v>0</v>
      </c>
      <c r="J172" s="159">
        <f>J29*'(Tables)'!J279</f>
        <v>0</v>
      </c>
      <c r="K172" s="159">
        <f>K29*'(Tables)'!K279</f>
        <v>0</v>
      </c>
      <c r="L172" s="159">
        <f>L29*'(Tables)'!L279</f>
        <v>0</v>
      </c>
      <c r="M172" s="69">
        <f>SUM(I172:L172)</f>
        <v>0</v>
      </c>
    </row>
    <row r="173" spans="1:13" ht="12.75" hidden="1" customHeight="1" outlineLevel="2" x14ac:dyDescent="0.2">
      <c r="A173" s="114" t="str">
        <f>"      "&amp;Labels!C181</f>
        <v xml:space="preserve">      Total</v>
      </c>
      <c r="B173" s="113">
        <f>SUM(B171:B172)</f>
        <v>0</v>
      </c>
      <c r="C173" s="69">
        <f>SUM(B171:B172)</f>
        <v>0</v>
      </c>
      <c r="D173" s="113">
        <f>SUM(D171:D172)</f>
        <v>0</v>
      </c>
      <c r="E173" s="113">
        <f>SUM(E171:E172)</f>
        <v>0</v>
      </c>
      <c r="F173" s="113">
        <f>SUM(F171:F172)</f>
        <v>0</v>
      </c>
      <c r="G173" s="113">
        <f>SUM(G171:G172)</f>
        <v>0</v>
      </c>
      <c r="H173" s="69">
        <f>SUM(D173:G173)</f>
        <v>0</v>
      </c>
      <c r="I173" s="113">
        <f>SUM(I171:I172)</f>
        <v>0</v>
      </c>
      <c r="J173" s="113">
        <f>SUM(J171:J172)</f>
        <v>0</v>
      </c>
      <c r="K173" s="113">
        <f>SUM(K171:K172)</f>
        <v>0</v>
      </c>
      <c r="L173" s="113">
        <f>SUM(L171:L172)</f>
        <v>0</v>
      </c>
      <c r="M173" s="69">
        <f>SUM(I173:L173)</f>
        <v>0</v>
      </c>
    </row>
    <row r="174" spans="1:13" ht="12.75" hidden="1" customHeight="1" outlineLevel="2" x14ac:dyDescent="0.2">
      <c r="A174" s="114" t="str">
        <f>"   "&amp;Labels!B137</f>
        <v xml:space="preserve">   Inv Tax Credit</v>
      </c>
      <c r="B174" s="113"/>
      <c r="C174" s="69"/>
      <c r="D174" s="113"/>
      <c r="E174" s="113"/>
      <c r="F174" s="113"/>
      <c r="G174" s="113"/>
      <c r="H174" s="69"/>
      <c r="I174" s="113"/>
      <c r="J174" s="113"/>
      <c r="K174" s="113"/>
      <c r="L174" s="113"/>
      <c r="M174" s="69"/>
    </row>
    <row r="175" spans="1:13" ht="12.75" hidden="1" customHeight="1" outlineLevel="2" x14ac:dyDescent="0.2">
      <c r="A175" s="144" t="str">
        <f>"      "&amp;Labels!B182</f>
        <v xml:space="preserve">      Catamarans</v>
      </c>
      <c r="B175" s="159">
        <f>B20*'(Tables)'!B279</f>
        <v>0</v>
      </c>
      <c r="C175" s="69">
        <f>B175</f>
        <v>0</v>
      </c>
      <c r="D175" s="159">
        <f>D20*'(Tables)'!D279</f>
        <v>0</v>
      </c>
      <c r="E175" s="159">
        <f>E20*'(Tables)'!E279</f>
        <v>0</v>
      </c>
      <c r="F175" s="159">
        <f>F20*'(Tables)'!F279</f>
        <v>0</v>
      </c>
      <c r="G175" s="159">
        <f>G20*'(Tables)'!G279</f>
        <v>0</v>
      </c>
      <c r="H175" s="69">
        <f>SUM(D175:G175)</f>
        <v>0</v>
      </c>
      <c r="I175" s="159">
        <f>I20*'(Tables)'!I279</f>
        <v>0</v>
      </c>
      <c r="J175" s="159">
        <f>J20*'(Tables)'!J279</f>
        <v>0</v>
      </c>
      <c r="K175" s="159">
        <f>K20*'(Tables)'!K279</f>
        <v>0</v>
      </c>
      <c r="L175" s="159">
        <f>L20*'(Tables)'!L279</f>
        <v>0</v>
      </c>
      <c r="M175" s="69">
        <f>SUM(I175:L175)</f>
        <v>0</v>
      </c>
    </row>
    <row r="176" spans="1:13" ht="12.75" hidden="1" customHeight="1" outlineLevel="2" x14ac:dyDescent="0.2">
      <c r="A176" s="144" t="str">
        <f>"      "&amp;Labels!B183</f>
        <v xml:space="preserve">      Canoes</v>
      </c>
      <c r="B176" s="159">
        <f>B30*'(Tables)'!B279</f>
        <v>0</v>
      </c>
      <c r="C176" s="69">
        <f>B176</f>
        <v>0</v>
      </c>
      <c r="D176" s="159">
        <f>D30*'(Tables)'!D279</f>
        <v>0</v>
      </c>
      <c r="E176" s="159">
        <f>E30*'(Tables)'!E279</f>
        <v>0</v>
      </c>
      <c r="F176" s="159">
        <f>F30*'(Tables)'!F279</f>
        <v>0</v>
      </c>
      <c r="G176" s="159">
        <f>G30*'(Tables)'!G279</f>
        <v>0</v>
      </c>
      <c r="H176" s="69">
        <f>SUM(D176:G176)</f>
        <v>0</v>
      </c>
      <c r="I176" s="159">
        <f>I30*'(Tables)'!I279</f>
        <v>0</v>
      </c>
      <c r="J176" s="159">
        <f>J30*'(Tables)'!J279</f>
        <v>0</v>
      </c>
      <c r="K176" s="159">
        <f>K30*'(Tables)'!K279</f>
        <v>0</v>
      </c>
      <c r="L176" s="159">
        <f>L30*'(Tables)'!L279</f>
        <v>0</v>
      </c>
      <c r="M176" s="69">
        <f>SUM(I176:L176)</f>
        <v>0</v>
      </c>
    </row>
    <row r="177" spans="1:13" ht="12.75" hidden="1" customHeight="1" outlineLevel="2" x14ac:dyDescent="0.2">
      <c r="A177" s="114" t="str">
        <f>"      "&amp;Labels!C181</f>
        <v xml:space="preserve">      Total</v>
      </c>
      <c r="B177" s="113">
        <f>SUM(B175:B176)</f>
        <v>0</v>
      </c>
      <c r="C177" s="69">
        <f>SUM(B175:B176)</f>
        <v>0</v>
      </c>
      <c r="D177" s="113">
        <f>SUM(D175:D176)</f>
        <v>0</v>
      </c>
      <c r="E177" s="113">
        <f>SUM(E175:E176)</f>
        <v>0</v>
      </c>
      <c r="F177" s="113">
        <f>SUM(F175:F176)</f>
        <v>0</v>
      </c>
      <c r="G177" s="113">
        <f>SUM(G175:G176)</f>
        <v>0</v>
      </c>
      <c r="H177" s="69">
        <f>SUM(D177:G177)</f>
        <v>0</v>
      </c>
      <c r="I177" s="113">
        <f>SUM(I175:I176)</f>
        <v>0</v>
      </c>
      <c r="J177" s="113">
        <f>SUM(J175:J176)</f>
        <v>0</v>
      </c>
      <c r="K177" s="113">
        <f>SUM(K175:K176)</f>
        <v>0</v>
      </c>
      <c r="L177" s="113">
        <f>SUM(L175:L176)</f>
        <v>0</v>
      </c>
      <c r="M177" s="69">
        <f>SUM(I177:L177)</f>
        <v>0</v>
      </c>
    </row>
    <row r="178" spans="1:13" ht="12.75" hidden="1" customHeight="1" outlineLevel="2" x14ac:dyDescent="0.2">
      <c r="A178" s="114" t="str">
        <f>"   "&amp;Labels!B138</f>
        <v xml:space="preserve">   Working Cap</v>
      </c>
      <c r="B178" s="113"/>
      <c r="C178" s="69"/>
      <c r="D178" s="113"/>
      <c r="E178" s="113"/>
      <c r="F178" s="113"/>
      <c r="G178" s="113"/>
      <c r="H178" s="69"/>
      <c r="I178" s="113"/>
      <c r="J178" s="113"/>
      <c r="K178" s="113"/>
      <c r="L178" s="113"/>
      <c r="M178" s="69"/>
    </row>
    <row r="179" spans="1:13" ht="12.75" hidden="1" customHeight="1" outlineLevel="2" x14ac:dyDescent="0.2">
      <c r="A179" s="144" t="str">
        <f>"      "&amp;Labels!B182</f>
        <v xml:space="preserve">      Catamarans</v>
      </c>
      <c r="B179" s="159">
        <f>B21*'(Tables)'!B279</f>
        <v>0</v>
      </c>
      <c r="C179" s="69">
        <f>B179</f>
        <v>0</v>
      </c>
      <c r="D179" s="159">
        <f>D21*'(Tables)'!D279</f>
        <v>0</v>
      </c>
      <c r="E179" s="159">
        <f>E21*'(Tables)'!E279</f>
        <v>0</v>
      </c>
      <c r="F179" s="159">
        <f>F21*'(Tables)'!F279</f>
        <v>0</v>
      </c>
      <c r="G179" s="159">
        <f>G21*'(Tables)'!G279</f>
        <v>0</v>
      </c>
      <c r="H179" s="69">
        <f>SUM(D179:G179)</f>
        <v>0</v>
      </c>
      <c r="I179" s="159">
        <f>I21*'(Tables)'!I279</f>
        <v>0</v>
      </c>
      <c r="J179" s="159">
        <f>J21*'(Tables)'!J279</f>
        <v>0</v>
      </c>
      <c r="K179" s="159">
        <f>K21*'(Tables)'!K279</f>
        <v>0</v>
      </c>
      <c r="L179" s="159">
        <f>L21*'(Tables)'!L279</f>
        <v>0</v>
      </c>
      <c r="M179" s="69">
        <f>SUM(I179:L179)</f>
        <v>0</v>
      </c>
    </row>
    <row r="180" spans="1:13" ht="12.75" hidden="1" customHeight="1" outlineLevel="2" x14ac:dyDescent="0.2">
      <c r="A180" s="144" t="str">
        <f>"      "&amp;Labels!B183</f>
        <v xml:space="preserve">      Canoes</v>
      </c>
      <c r="B180" s="159">
        <f>B31*'(Tables)'!B279</f>
        <v>0</v>
      </c>
      <c r="C180" s="69">
        <f>B180</f>
        <v>0</v>
      </c>
      <c r="D180" s="159">
        <f>D31*'(Tables)'!D279</f>
        <v>0</v>
      </c>
      <c r="E180" s="159">
        <f>E31*'(Tables)'!E279</f>
        <v>0</v>
      </c>
      <c r="F180" s="159">
        <f>F31*'(Tables)'!F279</f>
        <v>0</v>
      </c>
      <c r="G180" s="159">
        <f>G31*'(Tables)'!G279</f>
        <v>0</v>
      </c>
      <c r="H180" s="69">
        <f>SUM(D180:G180)</f>
        <v>0</v>
      </c>
      <c r="I180" s="159">
        <f>I31*'(Tables)'!I279</f>
        <v>0</v>
      </c>
      <c r="J180" s="159">
        <f>J31*'(Tables)'!J279</f>
        <v>0</v>
      </c>
      <c r="K180" s="159">
        <f>K31*'(Tables)'!K279</f>
        <v>0</v>
      </c>
      <c r="L180" s="159">
        <f>L31*'(Tables)'!L279</f>
        <v>0</v>
      </c>
      <c r="M180" s="69">
        <f>SUM(I180:L180)</f>
        <v>0</v>
      </c>
    </row>
    <row r="181" spans="1:13" ht="12.75" hidden="1" customHeight="1" outlineLevel="2" x14ac:dyDescent="0.2">
      <c r="A181" s="114" t="str">
        <f>"      "&amp;Labels!C181</f>
        <v xml:space="preserve">      Total</v>
      </c>
      <c r="B181" s="113">
        <f>SUM(B179:B180)</f>
        <v>0</v>
      </c>
      <c r="C181" s="69">
        <f>SUM(B179:B180)</f>
        <v>0</v>
      </c>
      <c r="D181" s="113">
        <f>SUM(D179:D180)</f>
        <v>0</v>
      </c>
      <c r="E181" s="113">
        <f>SUM(E179:E180)</f>
        <v>0</v>
      </c>
      <c r="F181" s="113">
        <f>SUM(F179:F180)</f>
        <v>0</v>
      </c>
      <c r="G181" s="113">
        <f>SUM(G179:G180)</f>
        <v>0</v>
      </c>
      <c r="H181" s="69">
        <f>SUM(D181:G181)</f>
        <v>0</v>
      </c>
      <c r="I181" s="113">
        <f>SUM(I179:I180)</f>
        <v>0</v>
      </c>
      <c r="J181" s="113">
        <f>SUM(J179:J180)</f>
        <v>0</v>
      </c>
      <c r="K181" s="113">
        <f>SUM(K179:K180)</f>
        <v>0</v>
      </c>
      <c r="L181" s="113">
        <f>SUM(L179:L180)</f>
        <v>0</v>
      </c>
      <c r="M181" s="69">
        <f>SUM(I181:L181)</f>
        <v>0</v>
      </c>
    </row>
    <row r="182" spans="1:13" ht="12.75" hidden="1" customHeight="1" outlineLevel="2" x14ac:dyDescent="0.2">
      <c r="A182" s="114" t="str">
        <f>"   "&amp;Labels!B139</f>
        <v xml:space="preserve">   Debt Principal</v>
      </c>
      <c r="B182" s="113"/>
      <c r="C182" s="69"/>
      <c r="D182" s="113"/>
      <c r="E182" s="113"/>
      <c r="F182" s="113"/>
      <c r="G182" s="113"/>
      <c r="H182" s="69"/>
      <c r="I182" s="113"/>
      <c r="J182" s="113"/>
      <c r="K182" s="113"/>
      <c r="L182" s="113"/>
      <c r="M182" s="69"/>
    </row>
    <row r="183" spans="1:13" ht="12.75" hidden="1" customHeight="1" outlineLevel="2" x14ac:dyDescent="0.2">
      <c r="A183" s="144" t="str">
        <f>"      "&amp;Labels!B182</f>
        <v xml:space="preserve">      Catamarans</v>
      </c>
      <c r="B183" s="159">
        <f>B22*'(Tables)'!B279</f>
        <v>0</v>
      </c>
      <c r="C183" s="69">
        <f>B183</f>
        <v>0</v>
      </c>
      <c r="D183" s="159">
        <f>D22*'(Tables)'!D279</f>
        <v>0</v>
      </c>
      <c r="E183" s="159">
        <f>E22*'(Tables)'!E279</f>
        <v>0</v>
      </c>
      <c r="F183" s="159">
        <f>F22*'(Tables)'!F279</f>
        <v>0</v>
      </c>
      <c r="G183" s="159">
        <f>G22*'(Tables)'!G279</f>
        <v>0</v>
      </c>
      <c r="H183" s="69">
        <f>SUM(D183:G183)</f>
        <v>0</v>
      </c>
      <c r="I183" s="159">
        <f>I22*'(Tables)'!I279</f>
        <v>0</v>
      </c>
      <c r="J183" s="159">
        <f>J22*'(Tables)'!J279</f>
        <v>0</v>
      </c>
      <c r="K183" s="159">
        <f>K22*'(Tables)'!K279</f>
        <v>0</v>
      </c>
      <c r="L183" s="159">
        <f>L22*'(Tables)'!L279</f>
        <v>0</v>
      </c>
      <c r="M183" s="69">
        <f>SUM(I183:L183)</f>
        <v>0</v>
      </c>
    </row>
    <row r="184" spans="1:13" ht="12.75" hidden="1" customHeight="1" outlineLevel="2" x14ac:dyDescent="0.2">
      <c r="A184" s="144" t="str">
        <f>"      "&amp;Labels!B183</f>
        <v xml:space="preserve">      Canoes</v>
      </c>
      <c r="B184" s="159">
        <f>B32*'(Tables)'!B279</f>
        <v>0</v>
      </c>
      <c r="C184" s="69">
        <f>B184</f>
        <v>0</v>
      </c>
      <c r="D184" s="159">
        <f>D32*'(Tables)'!D279</f>
        <v>0</v>
      </c>
      <c r="E184" s="159">
        <f>E32*'(Tables)'!E279</f>
        <v>0</v>
      </c>
      <c r="F184" s="159">
        <f>F32*'(Tables)'!F279</f>
        <v>0</v>
      </c>
      <c r="G184" s="159">
        <f>G32*'(Tables)'!G279</f>
        <v>0</v>
      </c>
      <c r="H184" s="69">
        <f>SUM(D184:G184)</f>
        <v>0</v>
      </c>
      <c r="I184" s="159">
        <f>I32*'(Tables)'!I279</f>
        <v>0</v>
      </c>
      <c r="J184" s="159">
        <f>J32*'(Tables)'!J279</f>
        <v>0</v>
      </c>
      <c r="K184" s="159">
        <f>K32*'(Tables)'!K279</f>
        <v>0</v>
      </c>
      <c r="L184" s="159">
        <f>L32*'(Tables)'!L279</f>
        <v>0</v>
      </c>
      <c r="M184" s="69">
        <f>SUM(I184:L184)</f>
        <v>0</v>
      </c>
    </row>
    <row r="185" spans="1:13" ht="12.75" hidden="1" customHeight="1" outlineLevel="2" x14ac:dyDescent="0.2">
      <c r="A185" s="114" t="str">
        <f>"      "&amp;Labels!C181</f>
        <v xml:space="preserve">      Total</v>
      </c>
      <c r="B185" s="113">
        <f>SUM(B183:B184)</f>
        <v>0</v>
      </c>
      <c r="C185" s="69">
        <f>SUM(B183:B184)</f>
        <v>0</v>
      </c>
      <c r="D185" s="113">
        <f>SUM(D183:D184)</f>
        <v>0</v>
      </c>
      <c r="E185" s="113">
        <f>SUM(E183:E184)</f>
        <v>0</v>
      </c>
      <c r="F185" s="113">
        <f>SUM(F183:F184)</f>
        <v>0</v>
      </c>
      <c r="G185" s="113">
        <f>SUM(G183:G184)</f>
        <v>0</v>
      </c>
      <c r="H185" s="69">
        <f>SUM(D185:G185)</f>
        <v>0</v>
      </c>
      <c r="I185" s="113">
        <f>SUM(I183:I184)</f>
        <v>0</v>
      </c>
      <c r="J185" s="113">
        <f>SUM(J183:J184)</f>
        <v>0</v>
      </c>
      <c r="K185" s="113">
        <f>SUM(K183:K184)</f>
        <v>0</v>
      </c>
      <c r="L185" s="113">
        <f>SUM(L183:L184)</f>
        <v>0</v>
      </c>
      <c r="M185" s="69">
        <f>SUM(I185:L185)</f>
        <v>0</v>
      </c>
    </row>
    <row r="186" spans="1:13" ht="12.75" hidden="1" customHeight="1" outlineLevel="2" x14ac:dyDescent="0.2">
      <c r="A186" s="114" t="str">
        <f>"   "&amp;Labels!B140</f>
        <v xml:space="preserve">   Interest Pay</v>
      </c>
      <c r="B186" s="113"/>
      <c r="C186" s="69"/>
      <c r="D186" s="113"/>
      <c r="E186" s="113"/>
      <c r="F186" s="113"/>
      <c r="G186" s="113"/>
      <c r="H186" s="69"/>
      <c r="I186" s="113"/>
      <c r="J186" s="113"/>
      <c r="K186" s="113"/>
      <c r="L186" s="113"/>
      <c r="M186" s="69"/>
    </row>
    <row r="187" spans="1:13" ht="12.75" hidden="1" customHeight="1" outlineLevel="2" x14ac:dyDescent="0.2">
      <c r="A187" s="144" t="str">
        <f>"      "&amp;Labels!B182</f>
        <v xml:space="preserve">      Catamarans</v>
      </c>
      <c r="B187" s="159">
        <f>B23*'(Tables)'!B279</f>
        <v>0</v>
      </c>
      <c r="C187" s="69">
        <f>B187</f>
        <v>0</v>
      </c>
      <c r="D187" s="159">
        <f>D23*'(Tables)'!D279</f>
        <v>0</v>
      </c>
      <c r="E187" s="159">
        <f>E23*'(Tables)'!E279</f>
        <v>0</v>
      </c>
      <c r="F187" s="159">
        <f>F23*'(Tables)'!F279</f>
        <v>0</v>
      </c>
      <c r="G187" s="159">
        <f>G23*'(Tables)'!G279</f>
        <v>0</v>
      </c>
      <c r="H187" s="69">
        <f>SUM(D187:G187)</f>
        <v>0</v>
      </c>
      <c r="I187" s="159">
        <f>I23*'(Tables)'!I279</f>
        <v>0</v>
      </c>
      <c r="J187" s="159">
        <f>J23*'(Tables)'!J279</f>
        <v>0</v>
      </c>
      <c r="K187" s="159">
        <f>K23*'(Tables)'!K279</f>
        <v>0</v>
      </c>
      <c r="L187" s="159">
        <f>L23*'(Tables)'!L279</f>
        <v>0</v>
      </c>
      <c r="M187" s="69">
        <f>SUM(I187:L187)</f>
        <v>0</v>
      </c>
    </row>
    <row r="188" spans="1:13" ht="12.75" hidden="1" customHeight="1" outlineLevel="2" x14ac:dyDescent="0.2">
      <c r="A188" s="144" t="str">
        <f>"      "&amp;Labels!B183</f>
        <v xml:space="preserve">      Canoes</v>
      </c>
      <c r="B188" s="159">
        <f>B33*'(Tables)'!B279</f>
        <v>0</v>
      </c>
      <c r="C188" s="69">
        <f>B188</f>
        <v>0</v>
      </c>
      <c r="D188" s="159">
        <f>D33*'(Tables)'!D279</f>
        <v>0</v>
      </c>
      <c r="E188" s="159">
        <f>E33*'(Tables)'!E279</f>
        <v>0</v>
      </c>
      <c r="F188" s="159">
        <f>F33*'(Tables)'!F279</f>
        <v>0</v>
      </c>
      <c r="G188" s="159">
        <f>G33*'(Tables)'!G279</f>
        <v>0</v>
      </c>
      <c r="H188" s="69">
        <f>SUM(D188:G188)</f>
        <v>0</v>
      </c>
      <c r="I188" s="159">
        <f>I33*'(Tables)'!I279</f>
        <v>0</v>
      </c>
      <c r="J188" s="159">
        <f>J33*'(Tables)'!J279</f>
        <v>0</v>
      </c>
      <c r="K188" s="159">
        <f>K33*'(Tables)'!K279</f>
        <v>0</v>
      </c>
      <c r="L188" s="159">
        <f>L33*'(Tables)'!L279</f>
        <v>0</v>
      </c>
      <c r="M188" s="69">
        <f>SUM(I188:L188)</f>
        <v>0</v>
      </c>
    </row>
    <row r="189" spans="1:13" ht="12.75" hidden="1" customHeight="1" outlineLevel="2" x14ac:dyDescent="0.2">
      <c r="A189" s="114" t="str">
        <f>"      "&amp;Labels!C181</f>
        <v xml:space="preserve">      Total</v>
      </c>
      <c r="B189" s="113">
        <f>SUM(B187:B188)</f>
        <v>0</v>
      </c>
      <c r="C189" s="69">
        <f>SUM(B187:B188)</f>
        <v>0</v>
      </c>
      <c r="D189" s="113">
        <f>SUM(D187:D188)</f>
        <v>0</v>
      </c>
      <c r="E189" s="113">
        <f>SUM(E187:E188)</f>
        <v>0</v>
      </c>
      <c r="F189" s="113">
        <f>SUM(F187:F188)</f>
        <v>0</v>
      </c>
      <c r="G189" s="113">
        <f>SUM(G187:G188)</f>
        <v>0</v>
      </c>
      <c r="H189" s="69">
        <f>SUM(D189:G189)</f>
        <v>0</v>
      </c>
      <c r="I189" s="113">
        <f>SUM(I187:I188)</f>
        <v>0</v>
      </c>
      <c r="J189" s="113">
        <f>SUM(J187:J188)</f>
        <v>0</v>
      </c>
      <c r="K189" s="113">
        <f>SUM(K187:K188)</f>
        <v>0</v>
      </c>
      <c r="L189" s="113">
        <f>SUM(L187:L188)</f>
        <v>0</v>
      </c>
      <c r="M189" s="69">
        <f>SUM(I189:L189)</f>
        <v>0</v>
      </c>
    </row>
    <row r="190" spans="1:13" ht="12.75" hidden="1" customHeight="1" outlineLevel="2" x14ac:dyDescent="0.2">
      <c r="A190" s="114" t="str">
        <f>"   "&amp;Labels!B141</f>
        <v xml:space="preserve">   Lease Pay</v>
      </c>
      <c r="B190" s="113"/>
      <c r="C190" s="69"/>
      <c r="D190" s="113"/>
      <c r="E190" s="113"/>
      <c r="F190" s="113"/>
      <c r="G190" s="113"/>
      <c r="H190" s="69"/>
      <c r="I190" s="113"/>
      <c r="J190" s="113"/>
      <c r="K190" s="113"/>
      <c r="L190" s="113"/>
      <c r="M190" s="69"/>
    </row>
    <row r="191" spans="1:13" ht="12.75" hidden="1" customHeight="1" outlineLevel="2" x14ac:dyDescent="0.2">
      <c r="A191" s="144" t="str">
        <f>"      "&amp;Labels!B182</f>
        <v xml:space="preserve">      Catamarans</v>
      </c>
      <c r="B191" s="159">
        <f>B24*'(Tables)'!B279</f>
        <v>0</v>
      </c>
      <c r="C191" s="69">
        <f>B191</f>
        <v>0</v>
      </c>
      <c r="D191" s="159">
        <f>D24*'(Tables)'!D279</f>
        <v>0</v>
      </c>
      <c r="E191" s="159">
        <f>E24*'(Tables)'!E279</f>
        <v>0</v>
      </c>
      <c r="F191" s="159">
        <f>F24*'(Tables)'!F279</f>
        <v>0</v>
      </c>
      <c r="G191" s="159">
        <f>G24*'(Tables)'!G279</f>
        <v>0</v>
      </c>
      <c r="H191" s="69">
        <f>SUM(D191:G191)</f>
        <v>0</v>
      </c>
      <c r="I191" s="159">
        <f>I24*'(Tables)'!I279</f>
        <v>0</v>
      </c>
      <c r="J191" s="159">
        <f>J24*'(Tables)'!J279</f>
        <v>0</v>
      </c>
      <c r="K191" s="159">
        <f>K24*'(Tables)'!K279</f>
        <v>0</v>
      </c>
      <c r="L191" s="159">
        <f>L24*'(Tables)'!L279</f>
        <v>0</v>
      </c>
      <c r="M191" s="69">
        <f>SUM(I191:L191)</f>
        <v>0</v>
      </c>
    </row>
    <row r="192" spans="1:13" ht="12.75" hidden="1" customHeight="1" outlineLevel="2" x14ac:dyDescent="0.2">
      <c r="A192" s="144" t="str">
        <f>"      "&amp;Labels!B183</f>
        <v xml:space="preserve">      Canoes</v>
      </c>
      <c r="B192" s="159">
        <f>B34*'(Tables)'!B279</f>
        <v>0</v>
      </c>
      <c r="C192" s="69">
        <f>B192</f>
        <v>0</v>
      </c>
      <c r="D192" s="159">
        <f>D34*'(Tables)'!D279</f>
        <v>0</v>
      </c>
      <c r="E192" s="159">
        <f>E34*'(Tables)'!E279</f>
        <v>0</v>
      </c>
      <c r="F192" s="159">
        <f>F34*'(Tables)'!F279</f>
        <v>0</v>
      </c>
      <c r="G192" s="159">
        <f>G34*'(Tables)'!G279</f>
        <v>0</v>
      </c>
      <c r="H192" s="69">
        <f>SUM(D192:G192)</f>
        <v>0</v>
      </c>
      <c r="I192" s="159">
        <f>I34*'(Tables)'!I279</f>
        <v>0</v>
      </c>
      <c r="J192" s="159">
        <f>J34*'(Tables)'!J279</f>
        <v>0</v>
      </c>
      <c r="K192" s="159">
        <f>K34*'(Tables)'!K279</f>
        <v>0</v>
      </c>
      <c r="L192" s="159">
        <f>L34*'(Tables)'!L279</f>
        <v>0</v>
      </c>
      <c r="M192" s="69">
        <f>SUM(I192:L192)</f>
        <v>0</v>
      </c>
    </row>
    <row r="193" spans="1:13" ht="12.75" hidden="1" customHeight="1" outlineLevel="2" x14ac:dyDescent="0.2">
      <c r="A193" s="114" t="str">
        <f>"      "&amp;Labels!C181</f>
        <v xml:space="preserve">      Total</v>
      </c>
      <c r="B193" s="113">
        <f>SUM(B191:B192)</f>
        <v>0</v>
      </c>
      <c r="C193" s="69">
        <f>SUM(B191:B192)</f>
        <v>0</v>
      </c>
      <c r="D193" s="113">
        <f>SUM(D191:D192)</f>
        <v>0</v>
      </c>
      <c r="E193" s="113">
        <f>SUM(E191:E192)</f>
        <v>0</v>
      </c>
      <c r="F193" s="113">
        <f>SUM(F191:F192)</f>
        <v>0</v>
      </c>
      <c r="G193" s="113">
        <f>SUM(G191:G192)</f>
        <v>0</v>
      </c>
      <c r="H193" s="69">
        <f>SUM(D193:G193)</f>
        <v>0</v>
      </c>
      <c r="I193" s="113">
        <f>SUM(I191:I192)</f>
        <v>0</v>
      </c>
      <c r="J193" s="113">
        <f>SUM(J191:J192)</f>
        <v>0</v>
      </c>
      <c r="K193" s="113">
        <f>SUM(K191:K192)</f>
        <v>0</v>
      </c>
      <c r="L193" s="113">
        <f>SUM(L191:L192)</f>
        <v>0</v>
      </c>
      <c r="M193" s="69">
        <f>SUM(I193:L193)</f>
        <v>0</v>
      </c>
    </row>
    <row r="194" spans="1:13" ht="12.75" hidden="1" customHeight="1" outlineLevel="2" x14ac:dyDescent="0.2">
      <c r="A194" s="114" t="str">
        <f>"   "&amp;Labels!B142</f>
        <v xml:space="preserve">   Income Tax</v>
      </c>
      <c r="B194" s="113"/>
      <c r="C194" s="69"/>
      <c r="D194" s="113"/>
      <c r="E194" s="113"/>
      <c r="F194" s="113"/>
      <c r="G194" s="113"/>
      <c r="H194" s="69"/>
      <c r="I194" s="113"/>
      <c r="J194" s="113"/>
      <c r="K194" s="113"/>
      <c r="L194" s="113"/>
      <c r="M194" s="69"/>
    </row>
    <row r="195" spans="1:13" ht="12.75" hidden="1" customHeight="1" outlineLevel="2" x14ac:dyDescent="0.2">
      <c r="A195" s="144" t="str">
        <f>"      "&amp;Labels!B182</f>
        <v xml:space="preserve">      Catamarans</v>
      </c>
      <c r="B195" s="159">
        <f>B25*'(Tables)'!B279</f>
        <v>0</v>
      </c>
      <c r="C195" s="69">
        <f>B195</f>
        <v>0</v>
      </c>
      <c r="D195" s="159">
        <f>D25*'(Tables)'!D279</f>
        <v>0</v>
      </c>
      <c r="E195" s="159">
        <f>E25*'(Tables)'!E279</f>
        <v>0</v>
      </c>
      <c r="F195" s="159">
        <f>F25*'(Tables)'!F279</f>
        <v>0</v>
      </c>
      <c r="G195" s="159">
        <f>G25*'(Tables)'!G279</f>
        <v>0</v>
      </c>
      <c r="H195" s="69">
        <f t="shared" ref="H195:H200" si="38">SUM(D195:G195)</f>
        <v>0</v>
      </c>
      <c r="I195" s="159">
        <f>I25*'(Tables)'!I279</f>
        <v>0</v>
      </c>
      <c r="J195" s="159">
        <f>J25*'(Tables)'!J279</f>
        <v>0</v>
      </c>
      <c r="K195" s="159">
        <f>K25*'(Tables)'!K279</f>
        <v>0</v>
      </c>
      <c r="L195" s="159">
        <f>L25*'(Tables)'!L279</f>
        <v>0</v>
      </c>
      <c r="M195" s="69">
        <f t="shared" ref="M195:M200" si="39">SUM(I195:L195)</f>
        <v>0</v>
      </c>
    </row>
    <row r="196" spans="1:13" ht="12.75" hidden="1" customHeight="1" outlineLevel="2" x14ac:dyDescent="0.2">
      <c r="A196" s="144" t="str">
        <f>"      "&amp;Labels!B183</f>
        <v xml:space="preserve">      Canoes</v>
      </c>
      <c r="B196" s="159">
        <f>B35*'(Tables)'!B279</f>
        <v>0</v>
      </c>
      <c r="C196" s="69">
        <f>B196</f>
        <v>0</v>
      </c>
      <c r="D196" s="159">
        <f>D35*'(Tables)'!D279</f>
        <v>0</v>
      </c>
      <c r="E196" s="159">
        <f>E35*'(Tables)'!E279</f>
        <v>0</v>
      </c>
      <c r="F196" s="159">
        <f>F35*'(Tables)'!F279</f>
        <v>0</v>
      </c>
      <c r="G196" s="159">
        <f>G35*'(Tables)'!G279</f>
        <v>0</v>
      </c>
      <c r="H196" s="69">
        <f t="shared" si="38"/>
        <v>0</v>
      </c>
      <c r="I196" s="159">
        <f>I35*'(Tables)'!I279</f>
        <v>0</v>
      </c>
      <c r="J196" s="159">
        <f>J35*'(Tables)'!J279</f>
        <v>0</v>
      </c>
      <c r="K196" s="159">
        <f>K35*'(Tables)'!K279</f>
        <v>0</v>
      </c>
      <c r="L196" s="159">
        <f>L35*'(Tables)'!L279</f>
        <v>0</v>
      </c>
      <c r="M196" s="69">
        <f t="shared" si="39"/>
        <v>0</v>
      </c>
    </row>
    <row r="197" spans="1:13" ht="12.75" hidden="1" customHeight="1" outlineLevel="2" x14ac:dyDescent="0.2">
      <c r="A197" s="114" t="str">
        <f>"      "&amp;Labels!C181</f>
        <v xml:space="preserve">      Total</v>
      </c>
      <c r="B197" s="113">
        <f>SUM(B195:B196)</f>
        <v>0</v>
      </c>
      <c r="C197" s="69">
        <f>SUM(B195:B196)</f>
        <v>0</v>
      </c>
      <c r="D197" s="113">
        <f>SUM(D195:D196)</f>
        <v>0</v>
      </c>
      <c r="E197" s="113">
        <f>SUM(E195:E196)</f>
        <v>0</v>
      </c>
      <c r="F197" s="113">
        <f>SUM(F195:F196)</f>
        <v>0</v>
      </c>
      <c r="G197" s="113">
        <f>SUM(G195:G196)</f>
        <v>0</v>
      </c>
      <c r="H197" s="69">
        <f t="shared" si="38"/>
        <v>0</v>
      </c>
      <c r="I197" s="113">
        <f>SUM(I195:I196)</f>
        <v>0</v>
      </c>
      <c r="J197" s="113">
        <f>SUM(J195:J196)</f>
        <v>0</v>
      </c>
      <c r="K197" s="113">
        <f>SUM(K195:K196)</f>
        <v>0</v>
      </c>
      <c r="L197" s="113">
        <f>SUM(L195:L196)</f>
        <v>0</v>
      </c>
      <c r="M197" s="69">
        <f t="shared" si="39"/>
        <v>0</v>
      </c>
    </row>
    <row r="198" spans="1:13" ht="12.75" hidden="1" customHeight="1" outlineLevel="2" x14ac:dyDescent="0.2">
      <c r="A198" s="117" t="str">
        <f>"   "&amp;Labels!C134</f>
        <v xml:space="preserve">   Total</v>
      </c>
      <c r="B198" s="120">
        <f>SUM(B169,B173,B177,B181,B185,B189,B193,B197)</f>
        <v>0</v>
      </c>
      <c r="C198" s="69">
        <f>SUM(B169,B173,B177,B181,B185,B189,B193,B197)</f>
        <v>0</v>
      </c>
      <c r="D198" s="120">
        <f>SUM(D169,D173,D177,D181,D185,D189,D193,D197)</f>
        <v>0</v>
      </c>
      <c r="E198" s="120">
        <f>SUM(E169,E173,E177,E181,E185,E189,E193,E197)</f>
        <v>0</v>
      </c>
      <c r="F198" s="120">
        <f>SUM(F169,F173,F177,F181,F185,F189,F193,F197)</f>
        <v>0</v>
      </c>
      <c r="G198" s="120">
        <f>SUM(G169,G173,G177,G181,G185,G189,G193,G197)</f>
        <v>0</v>
      </c>
      <c r="H198" s="69">
        <f t="shared" si="38"/>
        <v>0</v>
      </c>
      <c r="I198" s="120">
        <f>SUM(I169,I173,I177,I181,I185,I189,I193,I197)</f>
        <v>0</v>
      </c>
      <c r="J198" s="120">
        <f>SUM(J169,J173,J177,J181,J185,J189,J193,J197)</f>
        <v>0</v>
      </c>
      <c r="K198" s="120">
        <f>SUM(K169,K173,K177,K181,K185,K189,K193,K197)</f>
        <v>0</v>
      </c>
      <c r="L198" s="120">
        <f>SUM(L169,L173,L177,L181,L185,L189,L193,L197)</f>
        <v>0</v>
      </c>
      <c r="M198" s="69">
        <f t="shared" si="39"/>
        <v>0</v>
      </c>
    </row>
    <row r="199" spans="1:13" ht="12.75" hidden="1" customHeight="1" outlineLevel="2" x14ac:dyDescent="0.2">
      <c r="A199" s="144" t="str">
        <f>"      "&amp;Labels!B182</f>
        <v xml:space="preserve">      Catamarans</v>
      </c>
      <c r="B199" s="159">
        <f>SUM(B167,B171,B175,B179,B183,B187,B191,B195)</f>
        <v>0</v>
      </c>
      <c r="C199" s="69">
        <f>SUM(B167,B171,B175,B179,B183,B187,B191,B195)</f>
        <v>0</v>
      </c>
      <c r="D199" s="159">
        <f t="shared" ref="D199:G201" si="40">SUM(D167,D171,D175,D179,D183,D187,D191,D195)</f>
        <v>0</v>
      </c>
      <c r="E199" s="159">
        <f t="shared" si="40"/>
        <v>0</v>
      </c>
      <c r="F199" s="159">
        <f t="shared" si="40"/>
        <v>0</v>
      </c>
      <c r="G199" s="159">
        <f t="shared" si="40"/>
        <v>0</v>
      </c>
      <c r="H199" s="69">
        <f t="shared" si="38"/>
        <v>0</v>
      </c>
      <c r="I199" s="159">
        <f t="shared" ref="I199:L201" si="41">SUM(I167,I171,I175,I179,I183,I187,I191,I195)</f>
        <v>0</v>
      </c>
      <c r="J199" s="159">
        <f t="shared" si="41"/>
        <v>0</v>
      </c>
      <c r="K199" s="159">
        <f t="shared" si="41"/>
        <v>0</v>
      </c>
      <c r="L199" s="159">
        <f t="shared" si="41"/>
        <v>0</v>
      </c>
      <c r="M199" s="69">
        <f t="shared" si="39"/>
        <v>0</v>
      </c>
    </row>
    <row r="200" spans="1:13" ht="12.75" hidden="1" customHeight="1" outlineLevel="2" x14ac:dyDescent="0.2">
      <c r="A200" s="144" t="str">
        <f>"      "&amp;Labels!B183</f>
        <v xml:space="preserve">      Canoes</v>
      </c>
      <c r="B200" s="159">
        <f>SUM(B168,B172,B176,B180,B184,B188,B192,B196)</f>
        <v>0</v>
      </c>
      <c r="C200" s="69">
        <f>SUM(B168,B172,B176,B180,B184,B188,B192,B196)</f>
        <v>0</v>
      </c>
      <c r="D200" s="159">
        <f t="shared" si="40"/>
        <v>0</v>
      </c>
      <c r="E200" s="159">
        <f t="shared" si="40"/>
        <v>0</v>
      </c>
      <c r="F200" s="159">
        <f t="shared" si="40"/>
        <v>0</v>
      </c>
      <c r="G200" s="159">
        <f t="shared" si="40"/>
        <v>0</v>
      </c>
      <c r="H200" s="69">
        <f t="shared" si="38"/>
        <v>0</v>
      </c>
      <c r="I200" s="159">
        <f t="shared" si="41"/>
        <v>0</v>
      </c>
      <c r="J200" s="159">
        <f t="shared" si="41"/>
        <v>0</v>
      </c>
      <c r="K200" s="159">
        <f t="shared" si="41"/>
        <v>0</v>
      </c>
      <c r="L200" s="159">
        <f t="shared" si="41"/>
        <v>0</v>
      </c>
      <c r="M200" s="69">
        <f t="shared" si="39"/>
        <v>0</v>
      </c>
    </row>
    <row r="201" spans="1:13" ht="12.75" hidden="1" customHeight="1" outlineLevel="2" x14ac:dyDescent="0.2">
      <c r="A201" s="145" t="str">
        <f>"      "&amp;Labels!C181</f>
        <v xml:space="preserve">      Total</v>
      </c>
      <c r="B201" s="123">
        <f>SUM(B169,B173,B177,B181,B185,B189,B193,B197)</f>
        <v>0</v>
      </c>
      <c r="C201" s="70">
        <f>SUM(B169,B173,B177,B181,B185,B189,B193,B197)</f>
        <v>0</v>
      </c>
      <c r="D201" s="123">
        <f t="shared" si="40"/>
        <v>0</v>
      </c>
      <c r="E201" s="123">
        <f t="shared" si="40"/>
        <v>0</v>
      </c>
      <c r="F201" s="123">
        <f t="shared" si="40"/>
        <v>0</v>
      </c>
      <c r="G201" s="123">
        <f t="shared" si="40"/>
        <v>0</v>
      </c>
      <c r="H201" s="70">
        <f>SUM(D198:G198)</f>
        <v>0</v>
      </c>
      <c r="I201" s="123">
        <f t="shared" si="41"/>
        <v>0</v>
      </c>
      <c r="J201" s="123">
        <f t="shared" si="41"/>
        <v>0</v>
      </c>
      <c r="K201" s="123">
        <f t="shared" si="41"/>
        <v>0</v>
      </c>
      <c r="L201" s="123">
        <f t="shared" si="41"/>
        <v>0</v>
      </c>
      <c r="M201" s="70">
        <f>SUM(I198:L198)</f>
        <v>0</v>
      </c>
    </row>
    <row r="202" spans="1:13" ht="12.75" hidden="1" customHeight="1" outlineLevel="2" collapsed="1" x14ac:dyDescent="0.2"/>
    <row r="203" spans="1:13" ht="12.75" hidden="1" customHeight="1" outlineLevel="1" collapsed="1" x14ac:dyDescent="0.2">
      <c r="A203" s="3" t="str">
        <f>"Net Present Value"</f>
        <v>Net Present Value</v>
      </c>
    </row>
    <row r="204" spans="1:13" ht="12.75" hidden="1" customHeight="1" outlineLevel="2" x14ac:dyDescent="0.2">
      <c r="A204" s="3" t="str">
        <f>""</f>
        <v/>
      </c>
    </row>
    <row r="205" spans="1:13" ht="12.75" hidden="1" customHeight="1" outlineLevel="2" x14ac:dyDescent="0.2">
      <c r="B205" s="17" t="str">
        <f>'(FnCalls 1)'!G6</f>
        <v>Q4 2010</v>
      </c>
      <c r="C205" s="62" t="str">
        <f>'(FnCalls 1)'!H4</f>
        <v>2010</v>
      </c>
      <c r="D205" s="18" t="str">
        <f>'(FnCalls 1)'!G7</f>
        <v>Q1 2011</v>
      </c>
      <c r="E205" s="18" t="str">
        <f>'(FnCalls 1)'!G8</f>
        <v>Q2 2011</v>
      </c>
      <c r="F205" s="18" t="str">
        <f>'(FnCalls 1)'!G9</f>
        <v>Q3 2011</v>
      </c>
      <c r="G205" s="18" t="str">
        <f>'(FnCalls 1)'!G10</f>
        <v>Q4 2011</v>
      </c>
      <c r="H205" s="62" t="str">
        <f>'(FnCalls 1)'!H7</f>
        <v>2011</v>
      </c>
      <c r="I205" s="18" t="str">
        <f>'(FnCalls 1)'!G11</f>
        <v>Q1 2012</v>
      </c>
      <c r="J205" s="18" t="str">
        <f>'(FnCalls 1)'!G12</f>
        <v>Q2 2012</v>
      </c>
      <c r="K205" s="18" t="str">
        <f>'(FnCalls 1)'!G13</f>
        <v>Q3 2012</v>
      </c>
      <c r="L205" s="18" t="str">
        <f>'(FnCalls 1)'!G14</f>
        <v>Q4 2012</v>
      </c>
      <c r="M205" s="62" t="str">
        <f>'(FnCalls 1)'!H11</f>
        <v>2012</v>
      </c>
    </row>
    <row r="206" spans="1:13" ht="12.75" hidden="1" customHeight="1" outlineLevel="2" x14ac:dyDescent="0.2">
      <c r="A206" s="111" t="str">
        <f>Labels!B123</f>
        <v>Valuation</v>
      </c>
      <c r="B206" s="110"/>
      <c r="C206" s="75"/>
      <c r="D206" s="110"/>
      <c r="E206" s="110"/>
      <c r="F206" s="110"/>
      <c r="G206" s="110"/>
      <c r="H206" s="75"/>
      <c r="I206" s="110"/>
      <c r="J206" s="110"/>
      <c r="K206" s="110"/>
      <c r="L206" s="110"/>
      <c r="M206" s="75"/>
    </row>
    <row r="207" spans="1:13" ht="12.75" hidden="1" customHeight="1" outlineLevel="2" x14ac:dyDescent="0.2">
      <c r="A207" s="114" t="str">
        <f>"   "&amp;Labels!B182</f>
        <v xml:space="preserve">   Catamarans</v>
      </c>
      <c r="B207" s="113">
        <f>'EqF Subproject 1'!B55</f>
        <v>0</v>
      </c>
      <c r="C207" s="69">
        <f>'EqF Subproject 1'!B55</f>
        <v>0</v>
      </c>
      <c r="D207" s="113">
        <f>'EqF Subproject 1'!D55</f>
        <v>0</v>
      </c>
      <c r="E207" s="113">
        <f>'EqF Subproject 1'!E55</f>
        <v>0</v>
      </c>
      <c r="F207" s="113">
        <f>'EqF Subproject 1'!F55</f>
        <v>0</v>
      </c>
      <c r="G207" s="113">
        <f>'EqF Subproject 1'!G55</f>
        <v>0</v>
      </c>
      <c r="H207" s="69">
        <f>'EqF Subproject 1'!G55</f>
        <v>0</v>
      </c>
      <c r="I207" s="113">
        <f>'EqF Subproject 1'!I55</f>
        <v>0</v>
      </c>
      <c r="J207" s="113">
        <f>'EqF Subproject 1'!J55</f>
        <v>0</v>
      </c>
      <c r="K207" s="113">
        <f>'EqF Subproject 1'!K55</f>
        <v>0</v>
      </c>
      <c r="L207" s="113">
        <f>'EqF Subproject 1'!L55</f>
        <v>0</v>
      </c>
      <c r="M207" s="69">
        <f>'EqF Subproject 1'!L55</f>
        <v>0</v>
      </c>
    </row>
    <row r="208" spans="1:13" ht="12.75" hidden="1" customHeight="1" outlineLevel="2" x14ac:dyDescent="0.2">
      <c r="A208" s="114" t="str">
        <f>"   "&amp;Labels!B183</f>
        <v xml:space="preserve">   Canoes</v>
      </c>
      <c r="B208" s="113">
        <f>'EqF Subproject 2'!B55</f>
        <v>0</v>
      </c>
      <c r="C208" s="69">
        <f>'EqF Subproject 2'!B55</f>
        <v>0</v>
      </c>
      <c r="D208" s="113">
        <f>'EqF Subproject 2'!D55</f>
        <v>0</v>
      </c>
      <c r="E208" s="113">
        <f>'EqF Subproject 2'!E55</f>
        <v>0</v>
      </c>
      <c r="F208" s="113">
        <f>'EqF Subproject 2'!F55</f>
        <v>0</v>
      </c>
      <c r="G208" s="113">
        <f>'EqF Subproject 2'!G55</f>
        <v>0</v>
      </c>
      <c r="H208" s="69">
        <f>'EqF Subproject 2'!G55</f>
        <v>0</v>
      </c>
      <c r="I208" s="113">
        <f>'EqF Subproject 2'!I55</f>
        <v>0</v>
      </c>
      <c r="J208" s="113">
        <f>'EqF Subproject 2'!J55</f>
        <v>0</v>
      </c>
      <c r="K208" s="113">
        <f>'EqF Subproject 2'!K55</f>
        <v>0</v>
      </c>
      <c r="L208" s="113">
        <f>'EqF Subproject 2'!L55</f>
        <v>0</v>
      </c>
      <c r="M208" s="69">
        <f>'EqF Subproject 2'!L55</f>
        <v>0</v>
      </c>
    </row>
    <row r="209" spans="1:13" ht="12.75" hidden="1" customHeight="1" outlineLevel="2" x14ac:dyDescent="0.2">
      <c r="A209" s="121" t="str">
        <f>"   "&amp;Labels!C181</f>
        <v xml:space="preserve">   Total</v>
      </c>
      <c r="B209" s="132">
        <f>SUM(B207:B208)</f>
        <v>0</v>
      </c>
      <c r="C209" s="70">
        <f>SUM(B207:B208)</f>
        <v>0</v>
      </c>
      <c r="D209" s="132">
        <f>SUM(D207:D208)</f>
        <v>0</v>
      </c>
      <c r="E209" s="132">
        <f>SUM(E207:E208)</f>
        <v>0</v>
      </c>
      <c r="F209" s="132">
        <f>SUM(F207:F208)</f>
        <v>0</v>
      </c>
      <c r="G209" s="132">
        <f>SUM(G207:G208)</f>
        <v>0</v>
      </c>
      <c r="H209" s="70">
        <f>SUM(G207:G208)</f>
        <v>0</v>
      </c>
      <c r="I209" s="132">
        <f>SUM(I207:I208)</f>
        <v>0</v>
      </c>
      <c r="J209" s="132">
        <f>SUM(J207:J208)</f>
        <v>0</v>
      </c>
      <c r="K209" s="132">
        <f>SUM(K207:K208)</f>
        <v>0</v>
      </c>
      <c r="L209" s="132">
        <f>SUM(L207:L208)</f>
        <v>0</v>
      </c>
      <c r="M209" s="70">
        <f>SUM(L207:L208)</f>
        <v>0</v>
      </c>
    </row>
    <row r="210" spans="1:13" ht="12.75" hidden="1" customHeight="1" outlineLevel="2" x14ac:dyDescent="0.2"/>
    <row r="211" spans="1:13" ht="12.75" hidden="1" customHeight="1" outlineLevel="2" x14ac:dyDescent="0.2">
      <c r="B211" s="17" t="str">
        <f>Labels!B135</f>
        <v>EBITDA</v>
      </c>
      <c r="C211" s="18" t="str">
        <f>Labels!B136</f>
        <v>Fixed Invest</v>
      </c>
      <c r="D211" s="18" t="str">
        <f>Labels!B137</f>
        <v>Inv Tax Credit</v>
      </c>
      <c r="E211" s="18" t="str">
        <f>Labels!B138</f>
        <v>Working Cap</v>
      </c>
      <c r="F211" s="18" t="str">
        <f>Labels!B139</f>
        <v>Debt Principal</v>
      </c>
      <c r="G211" s="18" t="str">
        <f>Labels!B140</f>
        <v>Interest Pay</v>
      </c>
      <c r="H211" s="18" t="str">
        <f>Labels!B141</f>
        <v>Lease Pay</v>
      </c>
      <c r="I211" s="18" t="str">
        <f>Labels!B142</f>
        <v>Income Tax</v>
      </c>
      <c r="J211" s="62" t="str">
        <f>Labels!C134</f>
        <v>Total</v>
      </c>
    </row>
    <row r="212" spans="1:13" ht="12.75" hidden="1" customHeight="1" outlineLevel="2" x14ac:dyDescent="0.2">
      <c r="A212" s="111" t="str">
        <f>Labels!B92</f>
        <v>NPV</v>
      </c>
      <c r="B212" s="110"/>
      <c r="C212" s="110"/>
      <c r="D212" s="110"/>
      <c r="E212" s="110"/>
      <c r="F212" s="110"/>
      <c r="G212" s="110"/>
      <c r="H212" s="110"/>
      <c r="I212" s="110"/>
      <c r="J212" s="75"/>
    </row>
    <row r="213" spans="1:13" ht="12.75" hidden="1" customHeight="1" outlineLevel="2" x14ac:dyDescent="0.2">
      <c r="A213" s="114" t="str">
        <f>"   "&amp;Labels!B182</f>
        <v xml:space="preserve">   Catamarans</v>
      </c>
      <c r="B213" s="113">
        <f>SUM(B167,D167:G167,I167:L167)</f>
        <v>0</v>
      </c>
      <c r="C213" s="113">
        <f>SUM(B171,D171:G171,I171:L171)</f>
        <v>0</v>
      </c>
      <c r="D213" s="113">
        <f>SUM(B175,D175:G175,I175:L175)</f>
        <v>0</v>
      </c>
      <c r="E213" s="113">
        <f>SUM(B179,D179:G179,I179:L179)</f>
        <v>0</v>
      </c>
      <c r="F213" s="113">
        <f>SUM(B183,D183:G183,I183:L183)</f>
        <v>0</v>
      </c>
      <c r="G213" s="113">
        <f>SUM(B187,D187:G187,I187:L187)</f>
        <v>0</v>
      </c>
      <c r="H213" s="113">
        <f>SUM(B191,D191:G191,I191:L191)</f>
        <v>0</v>
      </c>
      <c r="I213" s="113">
        <f>SUM(B195,D195:G195,I195:L195)</f>
        <v>0</v>
      </c>
      <c r="J213" s="69">
        <f>SUM(B213:I213)</f>
        <v>0</v>
      </c>
    </row>
    <row r="214" spans="1:13" ht="12.75" hidden="1" customHeight="1" outlineLevel="2" x14ac:dyDescent="0.2">
      <c r="A214" s="114" t="str">
        <f>"   "&amp;Labels!B183</f>
        <v xml:space="preserve">   Canoes</v>
      </c>
      <c r="B214" s="113">
        <f>SUM(B168,D168:G168,I168:L168)</f>
        <v>0</v>
      </c>
      <c r="C214" s="113">
        <f>SUM(B172,D172:G172,I172:L172)</f>
        <v>0</v>
      </c>
      <c r="D214" s="113">
        <f>SUM(B176,D176:G176,I176:L176)</f>
        <v>0</v>
      </c>
      <c r="E214" s="113">
        <f>SUM(B180,D180:G180,I180:L180)</f>
        <v>0</v>
      </c>
      <c r="F214" s="113">
        <f>SUM(B184,D184:G184,I184:L184)</f>
        <v>0</v>
      </c>
      <c r="G214" s="113">
        <f>SUM(B188,D188:G188,I188:L188)</f>
        <v>0</v>
      </c>
      <c r="H214" s="113">
        <f>SUM(B192,D192:G192,I192:L192)</f>
        <v>0</v>
      </c>
      <c r="I214" s="113">
        <f>SUM(B196,D196:G196,I196:L196)</f>
        <v>0</v>
      </c>
      <c r="J214" s="69">
        <f>SUM(B214:I214)</f>
        <v>0</v>
      </c>
    </row>
    <row r="215" spans="1:13" ht="12.75" hidden="1" customHeight="1" outlineLevel="2" x14ac:dyDescent="0.2">
      <c r="A215" s="121" t="str">
        <f>"   "&amp;Labels!C181</f>
        <v xml:space="preserve">   Total</v>
      </c>
      <c r="B215" s="132">
        <f t="shared" ref="B215:J215" si="42">SUM(B213:B214)</f>
        <v>0</v>
      </c>
      <c r="C215" s="132">
        <f t="shared" si="42"/>
        <v>0</v>
      </c>
      <c r="D215" s="132">
        <f t="shared" si="42"/>
        <v>0</v>
      </c>
      <c r="E215" s="132">
        <f t="shared" si="42"/>
        <v>0</v>
      </c>
      <c r="F215" s="132">
        <f t="shared" si="42"/>
        <v>0</v>
      </c>
      <c r="G215" s="132">
        <f t="shared" si="42"/>
        <v>0</v>
      </c>
      <c r="H215" s="132">
        <f t="shared" si="42"/>
        <v>0</v>
      </c>
      <c r="I215" s="132">
        <f t="shared" si="42"/>
        <v>0</v>
      </c>
      <c r="J215" s="70">
        <f t="shared" si="42"/>
        <v>0</v>
      </c>
    </row>
    <row r="216" spans="1:13" ht="12.75" hidden="1" customHeight="1" outlineLevel="2" x14ac:dyDescent="0.2"/>
    <row r="217" spans="1:13" ht="12.75" hidden="1" customHeight="1" outlineLevel="2" x14ac:dyDescent="0.2">
      <c r="B217" s="62" t="str">
        <f>Labels!B118</f>
        <v>Tail NPV</v>
      </c>
    </row>
    <row r="218" spans="1:13" ht="12.75" hidden="1" customHeight="1" outlineLevel="2" x14ac:dyDescent="0.2">
      <c r="A218" s="111" t="str">
        <f>Labels!B182</f>
        <v>Catamarans</v>
      </c>
      <c r="B218" s="125">
        <f>'(Tables)'!B282*'(Tables)'!L279</f>
        <v>0</v>
      </c>
    </row>
    <row r="219" spans="1:13" ht="12.75" hidden="1" customHeight="1" outlineLevel="2" x14ac:dyDescent="0.2">
      <c r="A219" s="117" t="str">
        <f>Labels!B183</f>
        <v>Canoes</v>
      </c>
      <c r="B219" s="129">
        <f>'(Tables)'!B283*'(Tables)'!L279</f>
        <v>0</v>
      </c>
    </row>
    <row r="220" spans="1:13" ht="12.75" hidden="1" customHeight="1" outlineLevel="2" x14ac:dyDescent="0.2">
      <c r="A220" s="12" t="str">
        <f>Labels!C181</f>
        <v>Total</v>
      </c>
      <c r="B220" s="109">
        <f>SUM(B218:B219)</f>
        <v>0</v>
      </c>
    </row>
    <row r="221" spans="1:13" ht="12.75" hidden="1" customHeight="1" outlineLevel="2" x14ac:dyDescent="0.2"/>
    <row r="222" spans="1:13" ht="12.75" hidden="1" customHeight="1" outlineLevel="2" collapsed="1" x14ac:dyDescent="0.2"/>
    <row r="223" spans="1:13" ht="12.75" hidden="1" customHeight="1" outlineLevel="1" collapsed="1" x14ac:dyDescent="0.2">
      <c r="A223" s="3" t="str">
        <f>"Return on Investment"</f>
        <v>Return on Investment</v>
      </c>
    </row>
    <row r="224" spans="1:13" ht="12.75" hidden="1" customHeight="1" outlineLevel="2" x14ac:dyDescent="0.2">
      <c r="A224" s="3" t="str">
        <f>" "</f>
        <v xml:space="preserve"> </v>
      </c>
    </row>
    <row r="225" spans="1:13" ht="12.75" hidden="1" customHeight="1" outlineLevel="2" x14ac:dyDescent="0.2">
      <c r="A225" s="111" t="str">
        <f>Labels!B96</f>
        <v>Avg ROC (Yr)</v>
      </c>
      <c r="B225" s="162"/>
    </row>
    <row r="226" spans="1:13" ht="12.75" hidden="1" customHeight="1" outlineLevel="2" x14ac:dyDescent="0.2">
      <c r="A226" s="114" t="str">
        <f>"   "&amp;Labels!B182</f>
        <v xml:space="preserve">   Catamarans</v>
      </c>
      <c r="B226" s="163" t="e">
        <f>'EqF Subproject 1'!B75</f>
        <v>#DIV/0!</v>
      </c>
    </row>
    <row r="227" spans="1:13" ht="12.75" hidden="1" customHeight="1" outlineLevel="2" x14ac:dyDescent="0.2">
      <c r="A227" s="114" t="str">
        <f>"   "&amp;Labels!B183</f>
        <v xml:space="preserve">   Canoes</v>
      </c>
      <c r="B227" s="163" t="e">
        <f>'EqF Subproject 2'!B75</f>
        <v>#DIV/0!</v>
      </c>
    </row>
    <row r="228" spans="1:13" ht="12.75" hidden="1" customHeight="1" outlineLevel="2" x14ac:dyDescent="0.2">
      <c r="A228" s="117" t="str">
        <f>"   "&amp;Labels!C181</f>
        <v xml:space="preserve">   Total</v>
      </c>
      <c r="B228" s="163" t="e">
        <f>4*SUM(Operations!B23:E23,Operations!G23:J23)/SUM(Investment!D114:G114,Investment!I114:L114)</f>
        <v>#DIV/0!</v>
      </c>
    </row>
    <row r="229" spans="1:13" ht="12.75" hidden="1" customHeight="1" outlineLevel="2" x14ac:dyDescent="0.2">
      <c r="A229" s="117" t="str">
        <f>Labels!B84</f>
        <v>IRR (Yr)</v>
      </c>
      <c r="B229" s="163"/>
    </row>
    <row r="230" spans="1:13" ht="12.75" hidden="1" customHeight="1" outlineLevel="2" x14ac:dyDescent="0.2">
      <c r="A230" s="114" t="str">
        <f>"   "&amp;Labels!B182</f>
        <v xml:space="preserve">   Catamarans</v>
      </c>
      <c r="B230" s="163" t="e">
        <f>(1+IRR('(Ranges)'!A18:I18,(1+Inputs!E188)^(1/4)-1))^4-1</f>
        <v>#NUM!</v>
      </c>
    </row>
    <row r="231" spans="1:13" ht="12.75" hidden="1" customHeight="1" outlineLevel="2" x14ac:dyDescent="0.2">
      <c r="A231" s="114" t="str">
        <f>"   "&amp;Labels!B183</f>
        <v xml:space="preserve">   Canoes</v>
      </c>
      <c r="B231" s="163" t="e">
        <f>(1+IRR('(Ranges)'!A19:I19,(1+Inputs!E189)^(1/4)-1))^4-1</f>
        <v>#NUM!</v>
      </c>
    </row>
    <row r="232" spans="1:13" ht="12.75" hidden="1" customHeight="1" outlineLevel="2" x14ac:dyDescent="0.2">
      <c r="A232" s="121" t="str">
        <f>"   "&amp;Labels!C181</f>
        <v xml:space="preserve">   Total</v>
      </c>
      <c r="B232" s="164" t="e">
        <f>(1+IRR('(Ranges)'!A20:I20,(1+'(Tables)'!B143)^(1/4)-1))^4-1</f>
        <v>#NUM!</v>
      </c>
    </row>
    <row r="233" spans="1:13" ht="12.75" hidden="1" customHeight="1" outlineLevel="2" collapsed="1" x14ac:dyDescent="0.2"/>
    <row r="234" spans="1:13" ht="12.75" hidden="1" customHeight="1" outlineLevel="1" collapsed="1" x14ac:dyDescent="0.2">
      <c r="A234" s="272" t="str">
        <f>"Discount Rate"</f>
        <v>Discount Rate</v>
      </c>
      <c r="B234" s="272"/>
      <c r="C234" s="272"/>
    </row>
    <row r="235" spans="1:13" ht="12.75" hidden="1" customHeight="1" outlineLevel="2" x14ac:dyDescent="0.2">
      <c r="A235" s="272" t="str">
        <f>" "</f>
        <v xml:space="preserve"> </v>
      </c>
      <c r="B235" s="272"/>
      <c r="C235" s="272"/>
    </row>
    <row r="236" spans="1:13" ht="12.75" hidden="1" customHeight="1" outlineLevel="2" x14ac:dyDescent="0.2">
      <c r="A236" s="111" t="str">
        <f>Labels!B40</f>
        <v>Discount Method (Direct or CAPM)</v>
      </c>
      <c r="B236" s="165" t="str">
        <f>Inputs!E116</f>
        <v>Direct</v>
      </c>
    </row>
    <row r="237" spans="1:13" ht="12.75" hidden="1" customHeight="1" outlineLevel="2" x14ac:dyDescent="0.2">
      <c r="A237" s="12"/>
      <c r="B237" s="12"/>
    </row>
    <row r="238" spans="1:13" ht="12.75" hidden="1" customHeight="1" outlineLevel="2" x14ac:dyDescent="0.2">
      <c r="B238" s="17" t="str">
        <f>'(FnCalls 1)'!G6</f>
        <v>Q4 2010</v>
      </c>
      <c r="C238" s="62" t="str">
        <f>'(FnCalls 1)'!H4</f>
        <v>2010</v>
      </c>
      <c r="D238" s="18" t="str">
        <f>'(FnCalls 1)'!G7</f>
        <v>Q1 2011</v>
      </c>
      <c r="E238" s="18" t="str">
        <f>'(FnCalls 1)'!G8</f>
        <v>Q2 2011</v>
      </c>
      <c r="F238" s="18" t="str">
        <f>'(FnCalls 1)'!G9</f>
        <v>Q3 2011</v>
      </c>
      <c r="G238" s="18" t="str">
        <f>'(FnCalls 1)'!G10</f>
        <v>Q4 2011</v>
      </c>
      <c r="H238" s="62" t="str">
        <f>'(FnCalls 1)'!H7</f>
        <v>2011</v>
      </c>
      <c r="I238" s="18" t="str">
        <f>'(FnCalls 1)'!G11</f>
        <v>Q1 2012</v>
      </c>
      <c r="J238" s="18" t="str">
        <f>'(FnCalls 1)'!G12</f>
        <v>Q2 2012</v>
      </c>
      <c r="K238" s="18" t="str">
        <f>'(FnCalls 1)'!G13</f>
        <v>Q3 2012</v>
      </c>
      <c r="L238" s="18" t="str">
        <f>'(FnCalls 1)'!G14</f>
        <v>Q4 2012</v>
      </c>
      <c r="M238" s="62" t="str">
        <f>'(FnCalls 1)'!H11</f>
        <v>2012</v>
      </c>
    </row>
    <row r="239" spans="1:13" ht="12.75" hidden="1" customHeight="1" outlineLevel="2" x14ac:dyDescent="0.2">
      <c r="A239" s="111" t="str">
        <f>Labels!B42</f>
        <v>Discount Rate (Yr)</v>
      </c>
      <c r="B239" s="146"/>
      <c r="C239" s="65"/>
      <c r="D239" s="146"/>
      <c r="E239" s="146"/>
      <c r="F239" s="146"/>
      <c r="G239" s="146"/>
      <c r="H239" s="65"/>
      <c r="I239" s="146"/>
      <c r="J239" s="146"/>
      <c r="K239" s="146"/>
      <c r="L239" s="146"/>
      <c r="M239" s="65"/>
    </row>
    <row r="240" spans="1:13" ht="12.75" hidden="1" customHeight="1" outlineLevel="2" x14ac:dyDescent="0.2">
      <c r="A240" s="114" t="str">
        <f>"   "&amp;Labels!B182</f>
        <v xml:space="preserve">   Catamarans</v>
      </c>
      <c r="B240" s="147">
        <f>'Equity Fin'!B212</f>
        <v>0.15</v>
      </c>
      <c r="C240" s="68">
        <f>IF(B236="Direct",Inputs!E121,IF(B236="CAPM",B251*1+B251*(-B285)+B247*0.055*1+B247*0.055*(-B285)+B257*B285*1+B257*B285*(-Inputs!E108),0))</f>
        <v>0.15</v>
      </c>
      <c r="D240" s="147">
        <f>'Equity Fin'!D212</f>
        <v>0.15</v>
      </c>
      <c r="E240" s="147">
        <f>'Equity Fin'!E212</f>
        <v>0.15</v>
      </c>
      <c r="F240" s="147">
        <f>'Equity Fin'!F212</f>
        <v>0.15</v>
      </c>
      <c r="G240" s="147">
        <f>'Equity Fin'!G212</f>
        <v>0.15</v>
      </c>
      <c r="H240" s="68">
        <f>IF(B236="Direct",AVERAGE(Inputs!G121:J121),IF(B236="CAPM",AVERAGE(D251:G251)*1+AVERAGE(D251:G251)*(-B285)+B247*0.055*1+B247*0.055*(-B285)+AVERAGE(D257:G257)*B285*1+AVERAGE(D257:G257)*B285*(-Inputs!J108),0))</f>
        <v>0.15</v>
      </c>
      <c r="I240" s="147">
        <f>'Equity Fin'!I212</f>
        <v>0.15</v>
      </c>
      <c r="J240" s="147">
        <f>'Equity Fin'!J212</f>
        <v>0.15</v>
      </c>
      <c r="K240" s="147">
        <f>'Equity Fin'!K212</f>
        <v>0.15</v>
      </c>
      <c r="L240" s="147">
        <f>'Equity Fin'!L212</f>
        <v>0.15</v>
      </c>
      <c r="M240" s="68">
        <f>IF(B236="Direct",AVERAGE(Inputs!L121:O121),IF(B236="CAPM",AVERAGE(I251:L251)*1+AVERAGE(I251:L251)*(-B285)+B247*0.055*1+B247*0.055*(-B285)+AVERAGE(I257:L257)*B285*1+AVERAGE(I257:L257)*B285*(-Inputs!O108),0))</f>
        <v>0.15</v>
      </c>
    </row>
    <row r="241" spans="1:13" ht="12.75" hidden="1" customHeight="1" outlineLevel="2" x14ac:dyDescent="0.2">
      <c r="A241" s="114" t="str">
        <f>"   "&amp;Labels!B183</f>
        <v xml:space="preserve">   Canoes</v>
      </c>
      <c r="B241" s="147">
        <f>'Equity Fin'!B213</f>
        <v>0.15</v>
      </c>
      <c r="C241" s="68">
        <f>IF(B236="Direct",Inputs!E122,IF(B236="CAPM",B251*1+B251*(-B286)+B248*0.055*1+B248*0.055*(-B286)+B261*B286*1+B261*B286*(-Inputs!E108),0))</f>
        <v>0.15</v>
      </c>
      <c r="D241" s="147">
        <f>'Equity Fin'!D213</f>
        <v>0.15</v>
      </c>
      <c r="E241" s="147">
        <f>'Equity Fin'!E213</f>
        <v>0.15</v>
      </c>
      <c r="F241" s="147">
        <f>'Equity Fin'!F213</f>
        <v>0.15</v>
      </c>
      <c r="G241" s="147">
        <f>'Equity Fin'!G213</f>
        <v>0.15</v>
      </c>
      <c r="H241" s="68">
        <f>IF(B236="Direct",AVERAGE(Inputs!G122:J122),IF(B236="CAPM",AVERAGE(D251:G251)*1+AVERAGE(D251:G251)*(-B286)+B248*0.055*1+B248*0.055*(-B286)+AVERAGE(D261:G261)*B286*1+AVERAGE(D261:G261)*B286*(-Inputs!J108),0))</f>
        <v>0.15</v>
      </c>
      <c r="I241" s="147">
        <f>'Equity Fin'!I213</f>
        <v>0.15</v>
      </c>
      <c r="J241" s="147">
        <f>'Equity Fin'!J213</f>
        <v>0.15</v>
      </c>
      <c r="K241" s="147">
        <f>'Equity Fin'!K213</f>
        <v>0.15</v>
      </c>
      <c r="L241" s="147">
        <f>'Equity Fin'!L213</f>
        <v>0.15</v>
      </c>
      <c r="M241" s="68">
        <f>IF(B236="Direct",AVERAGE(Inputs!L122:O122),IF(B236="CAPM",AVERAGE(I251:L251)*1+AVERAGE(I251:L251)*(-B286)+B248*0.055*1+B248*0.055*(-B286)+AVERAGE(I261:L261)*B286*1+AVERAGE(I261:L261)*B286*(-Inputs!O108),0))</f>
        <v>0.15</v>
      </c>
    </row>
    <row r="242" spans="1:13" ht="12.75" hidden="1" customHeight="1" outlineLevel="2" x14ac:dyDescent="0.2">
      <c r="A242" s="121" t="str">
        <f>"   "&amp;Labels!C181</f>
        <v xml:space="preserve">   Total</v>
      </c>
      <c r="B242" s="166">
        <f>IF(B236="Direct",'(Tables)'!B114,IF(B236="CAPM",B251*1+B251*(-B287)+B249*B252*1+B249*B252*(-B287)+B262*B287*1+B262*B287*(-Inputs!E108),0))</f>
        <v>0.15</v>
      </c>
      <c r="C242" s="87">
        <f>IF(B236="Direct",'(Tables)'!B114,IF(B236="CAPM",B251*1+B251*(-B287)+B249*0.055*1+B249*0.055*(-B287)+B262*B287*1+B262*B287*(-Inputs!E108),0))</f>
        <v>0.15</v>
      </c>
      <c r="D242" s="166">
        <f>IF(B236="Direct",'(Tables)'!D114,IF(B236="CAPM",D251*1+D251*(-B287)+B249*D252*1+B249*D252*(-B287)+D262*B287*1+D262*B287*(-Inputs!G108),0))</f>
        <v>0.15</v>
      </c>
      <c r="E242" s="166">
        <f>IF(B236="Direct",'(Tables)'!E114,IF(B236="CAPM",E251*1+E251*(-B287)+B249*E252*1+B249*E252*(-B287)+E262*B287*1+E262*B287*(-Inputs!H108),0))</f>
        <v>0.15</v>
      </c>
      <c r="F242" s="166">
        <f>IF(B236="Direct",'(Tables)'!F114,IF(B236="CAPM",F251*1+F251*(-B287)+B249*F252*1+B249*F252*(-B287)+F262*B287*1+F262*B287*(-Inputs!I108),0))</f>
        <v>0.15</v>
      </c>
      <c r="G242" s="166">
        <f>IF(B236="Direct",'(Tables)'!G114,IF(B236="CAPM",G251*1+G251*(-B287)+B249*G252*1+B249*G252*(-B287)+G262*B287*1+G262*B287*(-Inputs!J108),0))</f>
        <v>0.15</v>
      </c>
      <c r="H242" s="87">
        <f>IF(B236="Direct",AVERAGE('(Tables)'!D114:G114),IF(B236="CAPM",AVERAGE(D251:G251)*1+AVERAGE(D251:G251)*(-B287)+B249*0.055*1+B249*0.055*(-B287)+AVERAGE(D262:G262)*B287*1+AVERAGE(D262:G262)*B287*(-Inputs!J108),0))</f>
        <v>0.15</v>
      </c>
      <c r="I242" s="166">
        <f>IF(B236="Direct",'(Tables)'!I114,IF(B236="CAPM",I251*1+I251*(-B287)+B249*I252*1+B249*I252*(-B287)+I262*B287*1+I262*B287*(-Inputs!L108),0))</f>
        <v>0.15</v>
      </c>
      <c r="J242" s="166">
        <f>IF(B236="Direct",'(Tables)'!J114,IF(B236="CAPM",J251*1+J251*(-B287)+B249*J252*1+B249*J252*(-B287)+J262*B287*1+J262*B287*(-Inputs!M108),0))</f>
        <v>0.15</v>
      </c>
      <c r="K242" s="166">
        <f>IF(B236="Direct",'(Tables)'!K114,IF(B236="CAPM",K251*1+K251*(-B287)+B249*K252*1+B249*K252*(-B287)+K262*B287*1+K262*B287*(-Inputs!N108),0))</f>
        <v>0.15</v>
      </c>
      <c r="L242" s="166">
        <f>IF(B236="Direct",'(Tables)'!L114,IF(B236="CAPM",L251*1+L251*(-B287)+B249*L252*1+B249*L252*(-B287)+L262*B287*1+L262*B287*(-Inputs!O108),0))</f>
        <v>0.15</v>
      </c>
      <c r="M242" s="87">
        <f>IF(B236="Direct",AVERAGE('(Tables)'!I114:L114),IF(B236="CAPM",AVERAGE(I251:L251)*1+AVERAGE(I251:L251)*(-B287)+B249*0.055*1+B249*0.055*(-B287)+AVERAGE(I262:L262)*B287*1+AVERAGE(I262:L262)*B287*(-Inputs!O108),0))</f>
        <v>0.15</v>
      </c>
    </row>
    <row r="243" spans="1:13" ht="12.75" hidden="1" customHeight="1" outlineLevel="2" x14ac:dyDescent="0.2"/>
    <row r="244" spans="1:13" ht="12.75" hidden="1" customHeight="1" outlineLevel="2" x14ac:dyDescent="0.2">
      <c r="A244" s="269" t="str">
        <f>"Parameters for CAPM Discount Rate"</f>
        <v>Parameters for CAPM Discount Rate</v>
      </c>
      <c r="B244" s="269"/>
      <c r="C244" s="269"/>
    </row>
    <row r="245" spans="1:13" ht="12.75" hidden="1" customHeight="1" outlineLevel="3" x14ac:dyDescent="0.2">
      <c r="A245" s="269" t="str">
        <f>" "</f>
        <v xml:space="preserve"> </v>
      </c>
      <c r="B245" s="269"/>
      <c r="C245" s="269"/>
    </row>
    <row r="246" spans="1:13" ht="12.75" hidden="1" customHeight="1" outlineLevel="3" x14ac:dyDescent="0.2">
      <c r="A246" s="111" t="str">
        <f>Labels!B6</f>
        <v>Beta</v>
      </c>
      <c r="B246" s="150"/>
    </row>
    <row r="247" spans="1:13" ht="12.75" hidden="1" customHeight="1" outlineLevel="3" x14ac:dyDescent="0.2">
      <c r="A247" s="114" t="str">
        <f>"   "&amp;Labels!B182</f>
        <v xml:space="preserve">   Catamarans</v>
      </c>
      <c r="B247" s="151">
        <f>Inputs!E126</f>
        <v>1</v>
      </c>
    </row>
    <row r="248" spans="1:13" ht="12.75" hidden="1" customHeight="1" outlineLevel="3" x14ac:dyDescent="0.2">
      <c r="A248" s="114" t="str">
        <f>"   "&amp;Labels!B183</f>
        <v xml:space="preserve">   Canoes</v>
      </c>
      <c r="B248" s="151">
        <f>Inputs!E127</f>
        <v>1</v>
      </c>
    </row>
    <row r="249" spans="1:13" ht="12.75" hidden="1" customHeight="1" outlineLevel="3" x14ac:dyDescent="0.2">
      <c r="A249" s="121" t="str">
        <f>"   "&amp;Labels!C181</f>
        <v xml:space="preserve">   Total</v>
      </c>
      <c r="B249" s="152">
        <f>AVERAGE(B247:B248)</f>
        <v>1</v>
      </c>
    </row>
    <row r="250" spans="1:13" ht="12.75" hidden="1" customHeight="1" outlineLevel="3" x14ac:dyDescent="0.2">
      <c r="B250" s="17" t="str">
        <f>'(FnCalls 1)'!G6</f>
        <v>Q4 2010</v>
      </c>
      <c r="C250" s="62" t="str">
        <f>'(FnCalls 1)'!H4</f>
        <v>2010</v>
      </c>
      <c r="D250" s="18" t="str">
        <f>'(FnCalls 1)'!G7</f>
        <v>Q1 2011</v>
      </c>
      <c r="E250" s="18" t="str">
        <f>'(FnCalls 1)'!G8</f>
        <v>Q2 2011</v>
      </c>
      <c r="F250" s="18" t="str">
        <f>'(FnCalls 1)'!G9</f>
        <v>Q3 2011</v>
      </c>
      <c r="G250" s="18" t="str">
        <f>'(FnCalls 1)'!G10</f>
        <v>Q4 2011</v>
      </c>
      <c r="H250" s="62" t="str">
        <f>'(FnCalls 1)'!H7</f>
        <v>2011</v>
      </c>
      <c r="I250" s="18" t="str">
        <f>'(FnCalls 1)'!G11</f>
        <v>Q1 2012</v>
      </c>
      <c r="J250" s="18" t="str">
        <f>'(FnCalls 1)'!G12</f>
        <v>Q2 2012</v>
      </c>
      <c r="K250" s="18" t="str">
        <f>'(FnCalls 1)'!G13</f>
        <v>Q3 2012</v>
      </c>
      <c r="L250" s="18" t="str">
        <f>'(FnCalls 1)'!G14</f>
        <v>Q4 2012</v>
      </c>
      <c r="M250" s="62" t="str">
        <f>'(FnCalls 1)'!H11</f>
        <v>2012</v>
      </c>
    </row>
    <row r="251" spans="1:13" ht="12.75" hidden="1" customHeight="1" outlineLevel="3" x14ac:dyDescent="0.2">
      <c r="A251" s="111" t="str">
        <f>Labels!B103</f>
        <v>Riskless Discount Rate (Yr)</v>
      </c>
      <c r="B251" s="146">
        <f>Inputs!E130</f>
        <v>0.04</v>
      </c>
      <c r="C251" s="65">
        <f>Inputs!E130</f>
        <v>0.04</v>
      </c>
      <c r="D251" s="146">
        <f>Inputs!G130</f>
        <v>0.04</v>
      </c>
      <c r="E251" s="146">
        <f>Inputs!H130</f>
        <v>0.04</v>
      </c>
      <c r="F251" s="146">
        <f>Inputs!I130</f>
        <v>0.04</v>
      </c>
      <c r="G251" s="146">
        <f>Inputs!J130</f>
        <v>0.04</v>
      </c>
      <c r="H251" s="65">
        <f>AVERAGE(D251:G251)</f>
        <v>0.04</v>
      </c>
      <c r="I251" s="146">
        <f>Inputs!L130</f>
        <v>0.04</v>
      </c>
      <c r="J251" s="146">
        <f>Inputs!M130</f>
        <v>0.04</v>
      </c>
      <c r="K251" s="146">
        <f>Inputs!N130</f>
        <v>0.04</v>
      </c>
      <c r="L251" s="146">
        <f>Inputs!O130</f>
        <v>0.04</v>
      </c>
      <c r="M251" s="65">
        <f>AVERAGE(I251:L251)</f>
        <v>0.04</v>
      </c>
    </row>
    <row r="252" spans="1:13" ht="12.75" hidden="1" customHeight="1" outlineLevel="3" x14ac:dyDescent="0.2">
      <c r="A252" s="117" t="str">
        <f>Labels!B101</f>
        <v>Market Risk Premium (Yr)</v>
      </c>
      <c r="B252" s="149">
        <f>Inputs!E132</f>
        <v>5.5E-2</v>
      </c>
      <c r="C252" s="68">
        <f>0.055</f>
        <v>5.5E-2</v>
      </c>
      <c r="D252" s="149">
        <f>Inputs!G132</f>
        <v>5.5E-2</v>
      </c>
      <c r="E252" s="149">
        <f>Inputs!H132</f>
        <v>5.5E-2</v>
      </c>
      <c r="F252" s="149">
        <f>Inputs!I132</f>
        <v>5.5E-2</v>
      </c>
      <c r="G252" s="149">
        <f>Inputs!J132</f>
        <v>5.5E-2</v>
      </c>
      <c r="H252" s="68">
        <f>0.055</f>
        <v>5.5E-2</v>
      </c>
      <c r="I252" s="149">
        <f>Inputs!L132</f>
        <v>5.5E-2</v>
      </c>
      <c r="J252" s="149">
        <f>Inputs!M132</f>
        <v>5.5E-2</v>
      </c>
      <c r="K252" s="149">
        <f>Inputs!N132</f>
        <v>5.5E-2</v>
      </c>
      <c r="L252" s="149">
        <f>Inputs!O132</f>
        <v>5.5E-2</v>
      </c>
      <c r="M252" s="68">
        <f>0.055</f>
        <v>5.5E-2</v>
      </c>
    </row>
    <row r="253" spans="1:13" ht="12.75" hidden="1" customHeight="1" outlineLevel="3" x14ac:dyDescent="0.2">
      <c r="A253" s="117" t="str">
        <f>Labels!B12</f>
        <v>Borrowing Rate (Yr)</v>
      </c>
      <c r="B253" s="149"/>
      <c r="C253" s="68"/>
      <c r="D253" s="149"/>
      <c r="E253" s="149"/>
      <c r="F253" s="149"/>
      <c r="G253" s="149"/>
      <c r="H253" s="68"/>
      <c r="I253" s="149"/>
      <c r="J253" s="149"/>
      <c r="K253" s="149"/>
      <c r="L253" s="149"/>
      <c r="M253" s="68"/>
    </row>
    <row r="254" spans="1:13" ht="12.75" hidden="1" customHeight="1" outlineLevel="3" x14ac:dyDescent="0.2">
      <c r="A254" s="114" t="str">
        <f>"   "&amp;Labels!B182</f>
        <v xml:space="preserve">   Catamarans</v>
      </c>
      <c r="B254" s="147"/>
      <c r="C254" s="68"/>
      <c r="D254" s="147"/>
      <c r="E254" s="147"/>
      <c r="F254" s="147"/>
      <c r="G254" s="147"/>
      <c r="H254" s="68"/>
      <c r="I254" s="147"/>
      <c r="J254" s="147"/>
      <c r="K254" s="147"/>
      <c r="L254" s="147"/>
      <c r="M254" s="68"/>
    </row>
    <row r="255" spans="1:13" ht="12.75" hidden="1" customHeight="1" outlineLevel="3" x14ac:dyDescent="0.2">
      <c r="A255" s="144" t="str">
        <f>"      "&amp;Labels!B170</f>
        <v xml:space="preserve">      Invest 1</v>
      </c>
      <c r="B255" s="66">
        <f>Inputs!E161</f>
        <v>0.1</v>
      </c>
      <c r="C255" s="68">
        <f>Inputs!E161</f>
        <v>0.1</v>
      </c>
      <c r="D255" s="66">
        <f>Inputs!G161</f>
        <v>0.1</v>
      </c>
      <c r="E255" s="66">
        <f>Inputs!H161</f>
        <v>0.1</v>
      </c>
      <c r="F255" s="66">
        <f>Inputs!I161</f>
        <v>0.1</v>
      </c>
      <c r="G255" s="66">
        <f>Inputs!J161</f>
        <v>0.1</v>
      </c>
      <c r="H255" s="68">
        <f>AVERAGE(D255:G255)</f>
        <v>0.1</v>
      </c>
      <c r="I255" s="66">
        <f>Inputs!L161</f>
        <v>0.1</v>
      </c>
      <c r="J255" s="66">
        <f>Inputs!M161</f>
        <v>0.1</v>
      </c>
      <c r="K255" s="66">
        <f>Inputs!N161</f>
        <v>0.1</v>
      </c>
      <c r="L255" s="66">
        <f>Inputs!O161</f>
        <v>0.1</v>
      </c>
      <c r="M255" s="68">
        <f>AVERAGE(I255:L255)</f>
        <v>0.1</v>
      </c>
    </row>
    <row r="256" spans="1:13" ht="12.75" hidden="1" customHeight="1" outlineLevel="3" x14ac:dyDescent="0.2">
      <c r="A256" s="144" t="str">
        <f>"      "&amp;Labels!B171</f>
        <v xml:space="preserve">      Invest 2</v>
      </c>
      <c r="B256" s="66">
        <f>Inputs!E162</f>
        <v>0.1</v>
      </c>
      <c r="C256" s="68">
        <f>Inputs!E162</f>
        <v>0.1</v>
      </c>
      <c r="D256" s="66">
        <f>Inputs!G162</f>
        <v>0.1</v>
      </c>
      <c r="E256" s="66">
        <f>Inputs!H162</f>
        <v>0.1</v>
      </c>
      <c r="F256" s="66">
        <f>Inputs!I162</f>
        <v>0.1</v>
      </c>
      <c r="G256" s="66">
        <f>Inputs!J162</f>
        <v>0.1</v>
      </c>
      <c r="H256" s="68">
        <f>AVERAGE(D256:G256)</f>
        <v>0.1</v>
      </c>
      <c r="I256" s="66">
        <f>Inputs!L162</f>
        <v>0.1</v>
      </c>
      <c r="J256" s="66">
        <f>Inputs!M162</f>
        <v>0.1</v>
      </c>
      <c r="K256" s="66">
        <f>Inputs!N162</f>
        <v>0.1</v>
      </c>
      <c r="L256" s="66">
        <f>Inputs!O162</f>
        <v>0.1</v>
      </c>
      <c r="M256" s="68">
        <f>AVERAGE(I256:L256)</f>
        <v>0.1</v>
      </c>
    </row>
    <row r="257" spans="1:13" ht="12.75" hidden="1" customHeight="1" outlineLevel="3" x14ac:dyDescent="0.2">
      <c r="A257" s="114" t="str">
        <f>"      "&amp;Labels!C169</f>
        <v xml:space="preserve">      Total</v>
      </c>
      <c r="B257" s="147">
        <f>AVERAGE(B255:B256)</f>
        <v>0.1</v>
      </c>
      <c r="C257" s="68">
        <f>AVERAGE(B255:B256)</f>
        <v>0.1</v>
      </c>
      <c r="D257" s="147">
        <f>AVERAGE(D255:D256)</f>
        <v>0.1</v>
      </c>
      <c r="E257" s="147">
        <f>AVERAGE(E255:E256)</f>
        <v>0.1</v>
      </c>
      <c r="F257" s="147">
        <f>AVERAGE(F255:F256)</f>
        <v>0.1</v>
      </c>
      <c r="G257" s="147">
        <f>AVERAGE(G255:G256)</f>
        <v>0.1</v>
      </c>
      <c r="H257" s="68">
        <f>AVERAGE(D257:G257)</f>
        <v>0.1</v>
      </c>
      <c r="I257" s="147">
        <f>AVERAGE(I255:I256)</f>
        <v>0.1</v>
      </c>
      <c r="J257" s="147">
        <f>AVERAGE(J255:J256)</f>
        <v>0.1</v>
      </c>
      <c r="K257" s="147">
        <f>AVERAGE(K255:K256)</f>
        <v>0.1</v>
      </c>
      <c r="L257" s="147">
        <f>AVERAGE(L255:L256)</f>
        <v>0.1</v>
      </c>
      <c r="M257" s="68">
        <f>AVERAGE(I257:L257)</f>
        <v>0.1</v>
      </c>
    </row>
    <row r="258" spans="1:13" ht="12.75" hidden="1" customHeight="1" outlineLevel="3" x14ac:dyDescent="0.2">
      <c r="A258" s="114" t="str">
        <f>"   "&amp;Labels!B183</f>
        <v xml:space="preserve">   Canoes</v>
      </c>
      <c r="B258" s="147"/>
      <c r="C258" s="68"/>
      <c r="D258" s="147"/>
      <c r="E258" s="147"/>
      <c r="F258" s="147"/>
      <c r="G258" s="147"/>
      <c r="H258" s="68"/>
      <c r="I258" s="147"/>
      <c r="J258" s="147"/>
      <c r="K258" s="147"/>
      <c r="L258" s="147"/>
      <c r="M258" s="68"/>
    </row>
    <row r="259" spans="1:13" ht="12.75" hidden="1" customHeight="1" outlineLevel="3" x14ac:dyDescent="0.2">
      <c r="A259" s="144" t="str">
        <f>"      "&amp;Labels!B170</f>
        <v xml:space="preserve">      Invest 1</v>
      </c>
      <c r="B259" s="66">
        <f>Inputs!E163</f>
        <v>0.1</v>
      </c>
      <c r="C259" s="68">
        <f>Inputs!E163</f>
        <v>0.1</v>
      </c>
      <c r="D259" s="66">
        <f>Inputs!G163</f>
        <v>0.1</v>
      </c>
      <c r="E259" s="66">
        <f>Inputs!H163</f>
        <v>0.1</v>
      </c>
      <c r="F259" s="66">
        <f>Inputs!I163</f>
        <v>0.1</v>
      </c>
      <c r="G259" s="66">
        <f>Inputs!J163</f>
        <v>0.1</v>
      </c>
      <c r="H259" s="68">
        <f t="shared" ref="H259:H264" si="43">AVERAGE(D259:G259)</f>
        <v>0.1</v>
      </c>
      <c r="I259" s="66">
        <f>Inputs!L163</f>
        <v>0.1</v>
      </c>
      <c r="J259" s="66">
        <f>Inputs!M163</f>
        <v>0.1</v>
      </c>
      <c r="K259" s="66">
        <f>Inputs!N163</f>
        <v>0.1</v>
      </c>
      <c r="L259" s="66">
        <f>Inputs!O163</f>
        <v>0.1</v>
      </c>
      <c r="M259" s="68">
        <f t="shared" ref="M259:M264" si="44">AVERAGE(I259:L259)</f>
        <v>0.1</v>
      </c>
    </row>
    <row r="260" spans="1:13" ht="12.75" hidden="1" customHeight="1" outlineLevel="3" x14ac:dyDescent="0.2">
      <c r="A260" s="144" t="str">
        <f>"      "&amp;Labels!B171</f>
        <v xml:space="preserve">      Invest 2</v>
      </c>
      <c r="B260" s="66">
        <f>Inputs!E164</f>
        <v>0.1</v>
      </c>
      <c r="C260" s="68">
        <f>Inputs!E164</f>
        <v>0.1</v>
      </c>
      <c r="D260" s="66">
        <f>Inputs!G164</f>
        <v>0.1</v>
      </c>
      <c r="E260" s="66">
        <f>Inputs!H164</f>
        <v>0.1</v>
      </c>
      <c r="F260" s="66">
        <f>Inputs!I164</f>
        <v>0.1</v>
      </c>
      <c r="G260" s="66">
        <f>Inputs!J164</f>
        <v>0.1</v>
      </c>
      <c r="H260" s="68">
        <f t="shared" si="43"/>
        <v>0.1</v>
      </c>
      <c r="I260" s="66">
        <f>Inputs!L164</f>
        <v>0.1</v>
      </c>
      <c r="J260" s="66">
        <f>Inputs!M164</f>
        <v>0.1</v>
      </c>
      <c r="K260" s="66">
        <f>Inputs!N164</f>
        <v>0.1</v>
      </c>
      <c r="L260" s="66">
        <f>Inputs!O164</f>
        <v>0.1</v>
      </c>
      <c r="M260" s="68">
        <f t="shared" si="44"/>
        <v>0.1</v>
      </c>
    </row>
    <row r="261" spans="1:13" ht="12.75" hidden="1" customHeight="1" outlineLevel="3" x14ac:dyDescent="0.2">
      <c r="A261" s="114" t="str">
        <f>"      "&amp;Labels!C169</f>
        <v xml:space="preserve">      Total</v>
      </c>
      <c r="B261" s="147">
        <f>AVERAGE(B259:B260)</f>
        <v>0.1</v>
      </c>
      <c r="C261" s="68">
        <f>AVERAGE(B259:B260)</f>
        <v>0.1</v>
      </c>
      <c r="D261" s="147">
        <f>AVERAGE(D259:D260)</f>
        <v>0.1</v>
      </c>
      <c r="E261" s="147">
        <f>AVERAGE(E259:E260)</f>
        <v>0.1</v>
      </c>
      <c r="F261" s="147">
        <f>AVERAGE(F259:F260)</f>
        <v>0.1</v>
      </c>
      <c r="G261" s="147">
        <f>AVERAGE(G259:G260)</f>
        <v>0.1</v>
      </c>
      <c r="H261" s="68">
        <f t="shared" si="43"/>
        <v>0.1</v>
      </c>
      <c r="I261" s="147">
        <f>AVERAGE(I259:I260)</f>
        <v>0.1</v>
      </c>
      <c r="J261" s="147">
        <f>AVERAGE(J259:J260)</f>
        <v>0.1</v>
      </c>
      <c r="K261" s="147">
        <f>AVERAGE(K259:K260)</f>
        <v>0.1</v>
      </c>
      <c r="L261" s="147">
        <f>AVERAGE(L259:L260)</f>
        <v>0.1</v>
      </c>
      <c r="M261" s="68">
        <f t="shared" si="44"/>
        <v>0.1</v>
      </c>
    </row>
    <row r="262" spans="1:13" ht="12.75" hidden="1" customHeight="1" outlineLevel="3" x14ac:dyDescent="0.2">
      <c r="A262" s="117" t="str">
        <f>"   "&amp;Labels!C181</f>
        <v xml:space="preserve">   Total</v>
      </c>
      <c r="B262" s="149">
        <f>AVERAGE(B257,B261)</f>
        <v>0.1</v>
      </c>
      <c r="C262" s="68">
        <f>AVERAGE(B257,B261)</f>
        <v>0.1</v>
      </c>
      <c r="D262" s="149">
        <f>AVERAGE(D257,D261)</f>
        <v>0.1</v>
      </c>
      <c r="E262" s="149">
        <f>AVERAGE(E257,E261)</f>
        <v>0.1</v>
      </c>
      <c r="F262" s="149">
        <f>AVERAGE(F257,F261)</f>
        <v>0.1</v>
      </c>
      <c r="G262" s="149">
        <f>AVERAGE(G257,G261)</f>
        <v>0.1</v>
      </c>
      <c r="H262" s="68">
        <f t="shared" si="43"/>
        <v>0.1</v>
      </c>
      <c r="I262" s="149">
        <f>AVERAGE(I257,I261)</f>
        <v>0.1</v>
      </c>
      <c r="J262" s="149">
        <f>AVERAGE(J257,J261)</f>
        <v>0.1</v>
      </c>
      <c r="K262" s="149">
        <f>AVERAGE(K257,K261)</f>
        <v>0.1</v>
      </c>
      <c r="L262" s="149">
        <f>AVERAGE(L257,L261)</f>
        <v>0.1</v>
      </c>
      <c r="M262" s="68">
        <f t="shared" si="44"/>
        <v>0.1</v>
      </c>
    </row>
    <row r="263" spans="1:13" ht="12.75" hidden="1" customHeight="1" outlineLevel="3" x14ac:dyDescent="0.2">
      <c r="A263" s="144" t="str">
        <f>"      "&amp;Labels!B170</f>
        <v xml:space="preserve">      Invest 1</v>
      </c>
      <c r="B263" s="66">
        <f>AVERAGE(B255,B259)</f>
        <v>0.1</v>
      </c>
      <c r="C263" s="68">
        <f>AVERAGE(B255,B259)</f>
        <v>0.1</v>
      </c>
      <c r="D263" s="66">
        <f t="shared" ref="D263:G265" si="45">AVERAGE(D255,D259)</f>
        <v>0.1</v>
      </c>
      <c r="E263" s="66">
        <f t="shared" si="45"/>
        <v>0.1</v>
      </c>
      <c r="F263" s="66">
        <f t="shared" si="45"/>
        <v>0.1</v>
      </c>
      <c r="G263" s="66">
        <f t="shared" si="45"/>
        <v>0.1</v>
      </c>
      <c r="H263" s="68">
        <f t="shared" si="43"/>
        <v>0.1</v>
      </c>
      <c r="I263" s="66">
        <f t="shared" ref="I263:L265" si="46">AVERAGE(I255,I259)</f>
        <v>0.1</v>
      </c>
      <c r="J263" s="66">
        <f t="shared" si="46"/>
        <v>0.1</v>
      </c>
      <c r="K263" s="66">
        <f t="shared" si="46"/>
        <v>0.1</v>
      </c>
      <c r="L263" s="66">
        <f t="shared" si="46"/>
        <v>0.1</v>
      </c>
      <c r="M263" s="68">
        <f t="shared" si="44"/>
        <v>0.1</v>
      </c>
    </row>
    <row r="264" spans="1:13" ht="12.75" hidden="1" customHeight="1" outlineLevel="3" x14ac:dyDescent="0.2">
      <c r="A264" s="144" t="str">
        <f>"      "&amp;Labels!B171</f>
        <v xml:space="preserve">      Invest 2</v>
      </c>
      <c r="B264" s="66">
        <f>AVERAGE(B256,B260)</f>
        <v>0.1</v>
      </c>
      <c r="C264" s="68">
        <f>AVERAGE(B256,B260)</f>
        <v>0.1</v>
      </c>
      <c r="D264" s="66">
        <f t="shared" si="45"/>
        <v>0.1</v>
      </c>
      <c r="E264" s="66">
        <f t="shared" si="45"/>
        <v>0.1</v>
      </c>
      <c r="F264" s="66">
        <f t="shared" si="45"/>
        <v>0.1</v>
      </c>
      <c r="G264" s="66">
        <f t="shared" si="45"/>
        <v>0.1</v>
      </c>
      <c r="H264" s="68">
        <f t="shared" si="43"/>
        <v>0.1</v>
      </c>
      <c r="I264" s="66">
        <f t="shared" si="46"/>
        <v>0.1</v>
      </c>
      <c r="J264" s="66">
        <f t="shared" si="46"/>
        <v>0.1</v>
      </c>
      <c r="K264" s="66">
        <f t="shared" si="46"/>
        <v>0.1</v>
      </c>
      <c r="L264" s="66">
        <f t="shared" si="46"/>
        <v>0.1</v>
      </c>
      <c r="M264" s="68">
        <f t="shared" si="44"/>
        <v>0.1</v>
      </c>
    </row>
    <row r="265" spans="1:13" ht="12.75" hidden="1" customHeight="1" outlineLevel="3" x14ac:dyDescent="0.2">
      <c r="A265" s="145" t="str">
        <f>"      "&amp;Labels!C169</f>
        <v xml:space="preserve">      Total</v>
      </c>
      <c r="B265" s="158">
        <f>AVERAGE(B257,B261)</f>
        <v>0.1</v>
      </c>
      <c r="C265" s="87">
        <f>AVERAGE(B257,B261)</f>
        <v>0.1</v>
      </c>
      <c r="D265" s="158">
        <f t="shared" si="45"/>
        <v>0.1</v>
      </c>
      <c r="E265" s="158">
        <f t="shared" si="45"/>
        <v>0.1</v>
      </c>
      <c r="F265" s="158">
        <f t="shared" si="45"/>
        <v>0.1</v>
      </c>
      <c r="G265" s="158">
        <f t="shared" si="45"/>
        <v>0.1</v>
      </c>
      <c r="H265" s="87">
        <f>AVERAGE(D262:G262)</f>
        <v>0.1</v>
      </c>
      <c r="I265" s="158">
        <f t="shared" si="46"/>
        <v>0.1</v>
      </c>
      <c r="J265" s="158">
        <f t="shared" si="46"/>
        <v>0.1</v>
      </c>
      <c r="K265" s="158">
        <f t="shared" si="46"/>
        <v>0.1</v>
      </c>
      <c r="L265" s="158">
        <f t="shared" si="46"/>
        <v>0.1</v>
      </c>
      <c r="M265" s="87">
        <f>AVERAGE(I262:L262)</f>
        <v>0.1</v>
      </c>
    </row>
    <row r="266" spans="1:13" ht="12.75" hidden="1" customHeight="1" outlineLevel="3" collapsed="1" x14ac:dyDescent="0.2"/>
    <row r="267" spans="1:13" ht="12.75" hidden="1" customHeight="1" outlineLevel="2" collapsed="1" x14ac:dyDescent="0.2"/>
    <row r="268" spans="1:13" ht="12.75" hidden="1" customHeight="1" outlineLevel="1" collapsed="1" x14ac:dyDescent="0.2"/>
    <row r="269" spans="1:13" ht="12.75" customHeight="1" collapsed="1" x14ac:dyDescent="0.2"/>
    <row r="270" spans="1:13" ht="12.75" customHeight="1" x14ac:dyDescent="0.2">
      <c r="A270" s="271" t="str">
        <f>"Financing for individual fixed investments"</f>
        <v>Financing for individual fixed investments</v>
      </c>
      <c r="B270" s="271"/>
      <c r="C270" s="271"/>
      <c r="D270" s="271"/>
    </row>
    <row r="271" spans="1:13" ht="12.75" hidden="1" customHeight="1" outlineLevel="1" x14ac:dyDescent="0.2">
      <c r="A271" s="271" t="str">
        <f>""</f>
        <v/>
      </c>
      <c r="B271" s="271"/>
      <c r="C271" s="271"/>
      <c r="D271" s="271"/>
    </row>
    <row r="272" spans="1:13" ht="12.75" hidden="1" customHeight="1" outlineLevel="1" x14ac:dyDescent="0.2">
      <c r="A272" s="12" t="str">
        <f>Labels!B59</f>
        <v>Financing Scenario</v>
      </c>
      <c r="B272" s="62">
        <f>Inputs!E139</f>
        <v>1</v>
      </c>
    </row>
    <row r="273" spans="1:11" ht="12.75" hidden="1" customHeight="1" outlineLevel="1" x14ac:dyDescent="0.2"/>
    <row r="274" spans="1:11" ht="12.75" hidden="1" customHeight="1" outlineLevel="1" x14ac:dyDescent="0.2">
      <c r="B274" s="169" t="str">
        <f>Labels!B56</f>
        <v>Financing Weights</v>
      </c>
      <c r="C274" s="170"/>
      <c r="D274" s="170"/>
      <c r="E274" s="170"/>
      <c r="F274" s="170"/>
      <c r="G274" s="170"/>
      <c r="H274" s="170"/>
      <c r="I274" s="170"/>
      <c r="J274" s="170"/>
      <c r="K274" s="171"/>
    </row>
    <row r="275" spans="1:11" ht="12.75" hidden="1" customHeight="1" outlineLevel="1" x14ac:dyDescent="0.2">
      <c r="B275" s="172" t="str">
        <f>Labels!B182</f>
        <v>Catamarans</v>
      </c>
      <c r="C275" s="173"/>
      <c r="D275" s="173"/>
      <c r="E275" s="173" t="str">
        <f>Labels!B183</f>
        <v>Canoes</v>
      </c>
      <c r="F275" s="173"/>
      <c r="G275" s="173"/>
      <c r="H275" s="174" t="str">
        <f>Labels!C181</f>
        <v>Total</v>
      </c>
      <c r="I275" s="173"/>
      <c r="J275" s="173"/>
      <c r="K275" s="175"/>
    </row>
    <row r="276" spans="1:11" ht="12.75" hidden="1" customHeight="1" outlineLevel="1" x14ac:dyDescent="0.2">
      <c r="B276" s="176" t="str">
        <f>Labels!B170</f>
        <v>Invest 1</v>
      </c>
      <c r="C276" s="177" t="str">
        <f>Labels!B171</f>
        <v>Invest 2</v>
      </c>
      <c r="D276" s="178" t="str">
        <f>Labels!C169</f>
        <v>Total</v>
      </c>
      <c r="E276" s="177" t="str">
        <f>Labels!B170</f>
        <v>Invest 1</v>
      </c>
      <c r="F276" s="177" t="str">
        <f>Labels!B171</f>
        <v>Invest 2</v>
      </c>
      <c r="G276" s="178" t="str">
        <f>Labels!C169</f>
        <v>Total</v>
      </c>
      <c r="H276" s="179"/>
      <c r="I276" s="177" t="str">
        <f>Labels!B170</f>
        <v>Invest 1</v>
      </c>
      <c r="J276" s="177" t="str">
        <f>Labels!B171</f>
        <v>Invest 2</v>
      </c>
      <c r="K276" s="180" t="str">
        <f>Labels!C169</f>
        <v>Total</v>
      </c>
    </row>
    <row r="277" spans="1:11" ht="12.75" hidden="1" customHeight="1" outlineLevel="1" x14ac:dyDescent="0.2">
      <c r="A277" s="111" t="str">
        <f>Labels!B157</f>
        <v>Equity</v>
      </c>
      <c r="B277" s="146">
        <f>Investment!B90</f>
        <v>1</v>
      </c>
      <c r="C277" s="146">
        <f>Investment!B91</f>
        <v>1</v>
      </c>
      <c r="D277" s="181">
        <f>AVERAGE(B277:C277)</f>
        <v>1</v>
      </c>
      <c r="E277" s="146">
        <f>Investment!B94</f>
        <v>1</v>
      </c>
      <c r="F277" s="146">
        <f>Investment!B95</f>
        <v>1</v>
      </c>
      <c r="G277" s="181">
        <f>AVERAGE(E277:F277)</f>
        <v>1</v>
      </c>
      <c r="H277" s="146">
        <f>AVERAGE(D277,G277)</f>
        <v>1</v>
      </c>
      <c r="I277" s="146">
        <f t="shared" ref="I277:K279" si="47">AVERAGE(B277,E277)</f>
        <v>1</v>
      </c>
      <c r="J277" s="146">
        <f t="shared" si="47"/>
        <v>1</v>
      </c>
      <c r="K277" s="182">
        <f t="shared" si="47"/>
        <v>1</v>
      </c>
    </row>
    <row r="278" spans="1:11" ht="12.75" hidden="1" customHeight="1" outlineLevel="1" x14ac:dyDescent="0.2">
      <c r="A278" s="117" t="str">
        <f>Labels!B158</f>
        <v>Debt</v>
      </c>
      <c r="B278" s="149">
        <f>Investment!C90</f>
        <v>0</v>
      </c>
      <c r="C278" s="149">
        <f>Investment!C91</f>
        <v>0</v>
      </c>
      <c r="D278" s="147">
        <f>AVERAGE(B278:C278)</f>
        <v>0</v>
      </c>
      <c r="E278" s="149">
        <f>Investment!C94</f>
        <v>0</v>
      </c>
      <c r="F278" s="149">
        <f>Investment!C95</f>
        <v>0</v>
      </c>
      <c r="G278" s="147">
        <f>AVERAGE(E278:F278)</f>
        <v>0</v>
      </c>
      <c r="H278" s="149">
        <f>AVERAGE(D278,G278)</f>
        <v>0</v>
      </c>
      <c r="I278" s="149">
        <f t="shared" si="47"/>
        <v>0</v>
      </c>
      <c r="J278" s="149">
        <f t="shared" si="47"/>
        <v>0</v>
      </c>
      <c r="K278" s="183">
        <f t="shared" si="47"/>
        <v>0</v>
      </c>
    </row>
    <row r="279" spans="1:11" ht="12.75" hidden="1" customHeight="1" outlineLevel="1" x14ac:dyDescent="0.2">
      <c r="A279" s="117" t="str">
        <f>Labels!B159</f>
        <v>Lease</v>
      </c>
      <c r="B279" s="149">
        <f>Investment!D90</f>
        <v>0</v>
      </c>
      <c r="C279" s="149">
        <f>Investment!D91</f>
        <v>0</v>
      </c>
      <c r="D279" s="147">
        <f>AVERAGE(B279:C279)</f>
        <v>0</v>
      </c>
      <c r="E279" s="149">
        <f>Investment!D94</f>
        <v>0</v>
      </c>
      <c r="F279" s="149">
        <f>Investment!D95</f>
        <v>0</v>
      </c>
      <c r="G279" s="147">
        <f>AVERAGE(E279:F279)</f>
        <v>0</v>
      </c>
      <c r="H279" s="149">
        <f>AVERAGE(D279,G279)</f>
        <v>0</v>
      </c>
      <c r="I279" s="149">
        <f t="shared" si="47"/>
        <v>0</v>
      </c>
      <c r="J279" s="149">
        <f t="shared" si="47"/>
        <v>0</v>
      </c>
      <c r="K279" s="183">
        <f t="shared" si="47"/>
        <v>0</v>
      </c>
    </row>
    <row r="280" spans="1:11" ht="12.75" hidden="1" customHeight="1" outlineLevel="1" x14ac:dyDescent="0.2">
      <c r="A280" s="12" t="str">
        <f>Labels!C156</f>
        <v>Total</v>
      </c>
      <c r="B280" s="168">
        <f t="shared" ref="B280:J280" si="48">SUM(B277:B279)</f>
        <v>1</v>
      </c>
      <c r="C280" s="168">
        <f t="shared" si="48"/>
        <v>1</v>
      </c>
      <c r="D280" s="168">
        <f t="shared" si="48"/>
        <v>1</v>
      </c>
      <c r="E280" s="168">
        <f t="shared" si="48"/>
        <v>1</v>
      </c>
      <c r="F280" s="168">
        <f t="shared" si="48"/>
        <v>1</v>
      </c>
      <c r="G280" s="168">
        <f t="shared" si="48"/>
        <v>1</v>
      </c>
      <c r="H280" s="168">
        <f t="shared" si="48"/>
        <v>1</v>
      </c>
      <c r="I280" s="168">
        <f t="shared" si="48"/>
        <v>1</v>
      </c>
      <c r="J280" s="168">
        <f t="shared" si="48"/>
        <v>1</v>
      </c>
      <c r="K280" s="184">
        <f>SUM(H277:H279)</f>
        <v>1</v>
      </c>
    </row>
    <row r="281" spans="1:11" ht="12.75" hidden="1" customHeight="1" outlineLevel="1" x14ac:dyDescent="0.2"/>
    <row r="282" spans="1:11" ht="12.75" hidden="1" customHeight="1" outlineLevel="1" x14ac:dyDescent="0.2">
      <c r="A282" s="3" t="str">
        <f>"Debt and Leases"</f>
        <v>Debt and Leases</v>
      </c>
    </row>
    <row r="283" spans="1:11" ht="12.75" hidden="1" customHeight="1" outlineLevel="2" x14ac:dyDescent="0.2">
      <c r="A283" s="3" t="str">
        <f>""</f>
        <v/>
      </c>
    </row>
    <row r="284" spans="1:11" ht="12.75" hidden="1" customHeight="1" outlineLevel="2" x14ac:dyDescent="0.2">
      <c r="A284" s="111" t="str">
        <f>Labels!B58</f>
        <v>Financial Leverage</v>
      </c>
      <c r="B284" s="150"/>
    </row>
    <row r="285" spans="1:11" ht="12.75" hidden="1" customHeight="1" outlineLevel="2" x14ac:dyDescent="0.2">
      <c r="A285" s="114" t="str">
        <f>"   "&amp;Labels!B182</f>
        <v xml:space="preserve">   Catamarans</v>
      </c>
      <c r="B285" s="151">
        <f>Investment!B103</f>
        <v>0</v>
      </c>
    </row>
    <row r="286" spans="1:11" ht="12.75" hidden="1" customHeight="1" outlineLevel="2" x14ac:dyDescent="0.2">
      <c r="A286" s="114" t="str">
        <f>"   "&amp;Labels!B183</f>
        <v xml:space="preserve">   Canoes</v>
      </c>
      <c r="B286" s="151">
        <f>Investment!B104</f>
        <v>0</v>
      </c>
    </row>
    <row r="287" spans="1:11" ht="12.75" hidden="1" customHeight="1" outlineLevel="2" x14ac:dyDescent="0.2">
      <c r="A287" s="121" t="str">
        <f>"   "&amp;Labels!C181</f>
        <v xml:space="preserve">   Total</v>
      </c>
      <c r="B287" s="152">
        <f>IF(Investment!E12=0,0,Investment!E12*H278/Investment!E12+Investment!E12*H279/Investment!E12)</f>
        <v>0</v>
      </c>
    </row>
    <row r="288" spans="1:11" ht="12.75" hidden="1" customHeight="1" outlineLevel="2" x14ac:dyDescent="0.2"/>
    <row r="289" spans="1:13" ht="12.75" hidden="1" customHeight="1" outlineLevel="2" x14ac:dyDescent="0.2">
      <c r="A289" s="3" t="str">
        <f>"Debt"</f>
        <v>Debt</v>
      </c>
    </row>
    <row r="290" spans="1:13" ht="12.75" hidden="1" customHeight="1" outlineLevel="3" x14ac:dyDescent="0.2">
      <c r="A290" s="3" t="str">
        <f>""</f>
        <v/>
      </c>
    </row>
    <row r="291" spans="1:13" ht="12.75" hidden="1" customHeight="1" outlineLevel="3" x14ac:dyDescent="0.2">
      <c r="B291" s="17" t="str">
        <f>'(FnCalls 1)'!G6</f>
        <v>Q4 2010</v>
      </c>
      <c r="C291" s="62" t="str">
        <f>'(FnCalls 1)'!H4</f>
        <v>2010</v>
      </c>
      <c r="D291" s="18" t="str">
        <f>'(FnCalls 1)'!G7</f>
        <v>Q1 2011</v>
      </c>
      <c r="E291" s="18" t="str">
        <f>'(FnCalls 1)'!G8</f>
        <v>Q2 2011</v>
      </c>
      <c r="F291" s="18" t="str">
        <f>'(FnCalls 1)'!G9</f>
        <v>Q3 2011</v>
      </c>
      <c r="G291" s="18" t="str">
        <f>'(FnCalls 1)'!G10</f>
        <v>Q4 2011</v>
      </c>
      <c r="H291" s="62" t="str">
        <f>'(FnCalls 1)'!H7</f>
        <v>2011</v>
      </c>
      <c r="I291" s="18" t="str">
        <f>'(FnCalls 1)'!G11</f>
        <v>Q1 2012</v>
      </c>
      <c r="J291" s="18" t="str">
        <f>'(FnCalls 1)'!G12</f>
        <v>Q2 2012</v>
      </c>
      <c r="K291" s="18" t="str">
        <f>'(FnCalls 1)'!G13</f>
        <v>Q3 2012</v>
      </c>
      <c r="L291" s="18" t="str">
        <f>'(FnCalls 1)'!G14</f>
        <v>Q4 2012</v>
      </c>
      <c r="M291" s="62" t="str">
        <f>'(FnCalls 1)'!H11</f>
        <v>2012</v>
      </c>
    </row>
    <row r="292" spans="1:13" ht="12.75" hidden="1" customHeight="1" outlineLevel="3" x14ac:dyDescent="0.2">
      <c r="A292" s="111" t="str">
        <f>Labels!B32</f>
        <v>Debt Principal</v>
      </c>
      <c r="B292" s="110"/>
      <c r="C292" s="75"/>
      <c r="D292" s="110"/>
      <c r="E292" s="110"/>
      <c r="F292" s="110"/>
      <c r="G292" s="110"/>
      <c r="H292" s="75"/>
      <c r="I292" s="110"/>
      <c r="J292" s="110"/>
      <c r="K292" s="110"/>
      <c r="L292" s="110"/>
      <c r="M292" s="75"/>
    </row>
    <row r="293" spans="1:13" ht="12.75" hidden="1" customHeight="1" outlineLevel="3" x14ac:dyDescent="0.2">
      <c r="A293" s="114" t="str">
        <f>"   "&amp;Labels!B182</f>
        <v xml:space="preserve">   Catamarans</v>
      </c>
      <c r="B293" s="113"/>
      <c r="C293" s="69"/>
      <c r="D293" s="113"/>
      <c r="E293" s="113"/>
      <c r="F293" s="113"/>
      <c r="G293" s="113"/>
      <c r="H293" s="69"/>
      <c r="I293" s="113"/>
      <c r="J293" s="113"/>
      <c r="K293" s="113"/>
      <c r="L293" s="113"/>
      <c r="M293" s="69"/>
    </row>
    <row r="294" spans="1:13" ht="12.75" hidden="1" customHeight="1" outlineLevel="3" x14ac:dyDescent="0.2">
      <c r="A294" s="144" t="str">
        <f>"      "&amp;Labels!B170</f>
        <v xml:space="preserve">      Invest 1</v>
      </c>
      <c r="B294" s="159">
        <f>0+B308</f>
        <v>0</v>
      </c>
      <c r="C294" s="69">
        <f>B294</f>
        <v>0</v>
      </c>
      <c r="D294" s="159">
        <f>B294+D308</f>
        <v>0</v>
      </c>
      <c r="E294" s="159">
        <f t="shared" ref="E294:G295" si="49">D294+E308</f>
        <v>0</v>
      </c>
      <c r="F294" s="159">
        <f t="shared" si="49"/>
        <v>0</v>
      </c>
      <c r="G294" s="159">
        <f t="shared" si="49"/>
        <v>0</v>
      </c>
      <c r="H294" s="69">
        <f>G294</f>
        <v>0</v>
      </c>
      <c r="I294" s="159">
        <f>G294+I308</f>
        <v>0</v>
      </c>
      <c r="J294" s="159">
        <f t="shared" ref="J294:L295" si="50">I294+J308</f>
        <v>0</v>
      </c>
      <c r="K294" s="159">
        <f t="shared" si="50"/>
        <v>0</v>
      </c>
      <c r="L294" s="159">
        <f t="shared" si="50"/>
        <v>0</v>
      </c>
      <c r="M294" s="69">
        <f>L294</f>
        <v>0</v>
      </c>
    </row>
    <row r="295" spans="1:13" ht="12.75" hidden="1" customHeight="1" outlineLevel="3" x14ac:dyDescent="0.2">
      <c r="A295" s="144" t="str">
        <f>"      "&amp;Labels!B171</f>
        <v xml:space="preserve">      Invest 2</v>
      </c>
      <c r="B295" s="159">
        <f>0+B309</f>
        <v>0</v>
      </c>
      <c r="C295" s="69">
        <f>B295</f>
        <v>0</v>
      </c>
      <c r="D295" s="159">
        <f>B295+D309</f>
        <v>0</v>
      </c>
      <c r="E295" s="159">
        <f t="shared" si="49"/>
        <v>0</v>
      </c>
      <c r="F295" s="159">
        <f t="shared" si="49"/>
        <v>0</v>
      </c>
      <c r="G295" s="159">
        <f t="shared" si="49"/>
        <v>0</v>
      </c>
      <c r="H295" s="69">
        <f>G295</f>
        <v>0</v>
      </c>
      <c r="I295" s="159">
        <f>G295+I309</f>
        <v>0</v>
      </c>
      <c r="J295" s="159">
        <f t="shared" si="50"/>
        <v>0</v>
      </c>
      <c r="K295" s="159">
        <f t="shared" si="50"/>
        <v>0</v>
      </c>
      <c r="L295" s="159">
        <f t="shared" si="50"/>
        <v>0</v>
      </c>
      <c r="M295" s="69">
        <f>L295</f>
        <v>0</v>
      </c>
    </row>
    <row r="296" spans="1:13" ht="12.75" hidden="1" customHeight="1" outlineLevel="3" x14ac:dyDescent="0.2">
      <c r="A296" s="114" t="str">
        <f>"      "&amp;Labels!C169</f>
        <v xml:space="preserve">      Total</v>
      </c>
      <c r="B296" s="113">
        <f>SUM(B294:B295)</f>
        <v>0</v>
      </c>
      <c r="C296" s="69">
        <f>SUM(B294:B295)</f>
        <v>0</v>
      </c>
      <c r="D296" s="113">
        <f>SUM(D294:D295)</f>
        <v>0</v>
      </c>
      <c r="E296" s="113">
        <f>SUM(E294:E295)</f>
        <v>0</v>
      </c>
      <c r="F296" s="113">
        <f>SUM(F294:F295)</f>
        <v>0</v>
      </c>
      <c r="G296" s="113">
        <f>SUM(G294:G295)</f>
        <v>0</v>
      </c>
      <c r="H296" s="69">
        <f>SUM(G294:G295)</f>
        <v>0</v>
      </c>
      <c r="I296" s="113">
        <f>SUM(I294:I295)</f>
        <v>0</v>
      </c>
      <c r="J296" s="113">
        <f>SUM(J294:J295)</f>
        <v>0</v>
      </c>
      <c r="K296" s="113">
        <f>SUM(K294:K295)</f>
        <v>0</v>
      </c>
      <c r="L296" s="113">
        <f>SUM(L294:L295)</f>
        <v>0</v>
      </c>
      <c r="M296" s="69">
        <f>SUM(L294:L295)</f>
        <v>0</v>
      </c>
    </row>
    <row r="297" spans="1:13" ht="12.75" hidden="1" customHeight="1" outlineLevel="3" x14ac:dyDescent="0.2">
      <c r="A297" s="114" t="str">
        <f>"   "&amp;Labels!B183</f>
        <v xml:space="preserve">   Canoes</v>
      </c>
      <c r="B297" s="113"/>
      <c r="C297" s="69"/>
      <c r="D297" s="113"/>
      <c r="E297" s="113"/>
      <c r="F297" s="113"/>
      <c r="G297" s="113"/>
      <c r="H297" s="69"/>
      <c r="I297" s="113"/>
      <c r="J297" s="113"/>
      <c r="K297" s="113"/>
      <c r="L297" s="113"/>
      <c r="M297" s="69"/>
    </row>
    <row r="298" spans="1:13" ht="12.75" hidden="1" customHeight="1" outlineLevel="3" x14ac:dyDescent="0.2">
      <c r="A298" s="144" t="str">
        <f>"      "&amp;Labels!B170</f>
        <v xml:space="preserve">      Invest 1</v>
      </c>
      <c r="B298" s="159">
        <f>0+B312</f>
        <v>0</v>
      </c>
      <c r="C298" s="69">
        <f>B298</f>
        <v>0</v>
      </c>
      <c r="D298" s="159">
        <f>B298+D312</f>
        <v>0</v>
      </c>
      <c r="E298" s="159">
        <f t="shared" ref="E298:G299" si="51">D298+E312</f>
        <v>0</v>
      </c>
      <c r="F298" s="159">
        <f t="shared" si="51"/>
        <v>0</v>
      </c>
      <c r="G298" s="159">
        <f t="shared" si="51"/>
        <v>0</v>
      </c>
      <c r="H298" s="69">
        <f>G298</f>
        <v>0</v>
      </c>
      <c r="I298" s="159">
        <f>G298+I312</f>
        <v>0</v>
      </c>
      <c r="J298" s="159">
        <f t="shared" ref="J298:L299" si="52">I298+J312</f>
        <v>0</v>
      </c>
      <c r="K298" s="159">
        <f t="shared" si="52"/>
        <v>0</v>
      </c>
      <c r="L298" s="159">
        <f t="shared" si="52"/>
        <v>0</v>
      </c>
      <c r="M298" s="69">
        <f>L298</f>
        <v>0</v>
      </c>
    </row>
    <row r="299" spans="1:13" ht="12.75" hidden="1" customHeight="1" outlineLevel="3" x14ac:dyDescent="0.2">
      <c r="A299" s="144" t="str">
        <f>"      "&amp;Labels!B171</f>
        <v xml:space="preserve">      Invest 2</v>
      </c>
      <c r="B299" s="159">
        <f>0+B313</f>
        <v>0</v>
      </c>
      <c r="C299" s="69">
        <f>B299</f>
        <v>0</v>
      </c>
      <c r="D299" s="159">
        <f>B299+D313</f>
        <v>0</v>
      </c>
      <c r="E299" s="159">
        <f t="shared" si="51"/>
        <v>0</v>
      </c>
      <c r="F299" s="159">
        <f t="shared" si="51"/>
        <v>0</v>
      </c>
      <c r="G299" s="159">
        <f t="shared" si="51"/>
        <v>0</v>
      </c>
      <c r="H299" s="69">
        <f>G299</f>
        <v>0</v>
      </c>
      <c r="I299" s="159">
        <f>G299+I313</f>
        <v>0</v>
      </c>
      <c r="J299" s="159">
        <f t="shared" si="52"/>
        <v>0</v>
      </c>
      <c r="K299" s="159">
        <f t="shared" si="52"/>
        <v>0</v>
      </c>
      <c r="L299" s="159">
        <f t="shared" si="52"/>
        <v>0</v>
      </c>
      <c r="M299" s="69">
        <f>L299</f>
        <v>0</v>
      </c>
    </row>
    <row r="300" spans="1:13" ht="12.75" hidden="1" customHeight="1" outlineLevel="3" x14ac:dyDescent="0.2">
      <c r="A300" s="114" t="str">
        <f>"      "&amp;Labels!C169</f>
        <v xml:space="preserve">      Total</v>
      </c>
      <c r="B300" s="113">
        <f>SUM(B298:B299)</f>
        <v>0</v>
      </c>
      <c r="C300" s="69">
        <f>SUM(B298:B299)</f>
        <v>0</v>
      </c>
      <c r="D300" s="113">
        <f>SUM(D298:D299)</f>
        <v>0</v>
      </c>
      <c r="E300" s="113">
        <f>SUM(E298:E299)</f>
        <v>0</v>
      </c>
      <c r="F300" s="113">
        <f>SUM(F298:F299)</f>
        <v>0</v>
      </c>
      <c r="G300" s="113">
        <f>SUM(G298:G299)</f>
        <v>0</v>
      </c>
      <c r="H300" s="69">
        <f>SUM(G298:G299)</f>
        <v>0</v>
      </c>
      <c r="I300" s="113">
        <f>SUM(I298:I299)</f>
        <v>0</v>
      </c>
      <c r="J300" s="113">
        <f>SUM(J298:J299)</f>
        <v>0</v>
      </c>
      <c r="K300" s="113">
        <f>SUM(K298:K299)</f>
        <v>0</v>
      </c>
      <c r="L300" s="113">
        <f>SUM(L298:L299)</f>
        <v>0</v>
      </c>
      <c r="M300" s="69">
        <f>SUM(L298:L299)</f>
        <v>0</v>
      </c>
    </row>
    <row r="301" spans="1:13" ht="12.75" hidden="1" customHeight="1" outlineLevel="3" x14ac:dyDescent="0.2">
      <c r="A301" s="117" t="str">
        <f>"   "&amp;Labels!C181</f>
        <v xml:space="preserve">   Total</v>
      </c>
      <c r="B301" s="120">
        <f>SUM(B296,B300)</f>
        <v>0</v>
      </c>
      <c r="C301" s="69">
        <f>SUM(B296,B300)</f>
        <v>0</v>
      </c>
      <c r="D301" s="120">
        <f>SUM(D296,D300)</f>
        <v>0</v>
      </c>
      <c r="E301" s="120">
        <f>SUM(E296,E300)</f>
        <v>0</v>
      </c>
      <c r="F301" s="120">
        <f>SUM(F296,F300)</f>
        <v>0</v>
      </c>
      <c r="G301" s="120">
        <f>SUM(G296,G300)</f>
        <v>0</v>
      </c>
      <c r="H301" s="69">
        <f>SUM(G296,G300)</f>
        <v>0</v>
      </c>
      <c r="I301" s="120">
        <f>SUM(I296,I300)</f>
        <v>0</v>
      </c>
      <c r="J301" s="120">
        <f>SUM(J296,J300)</f>
        <v>0</v>
      </c>
      <c r="K301" s="120">
        <f>SUM(K296,K300)</f>
        <v>0</v>
      </c>
      <c r="L301" s="120">
        <f>SUM(L296,L300)</f>
        <v>0</v>
      </c>
      <c r="M301" s="69">
        <f>SUM(L296,L300)</f>
        <v>0</v>
      </c>
    </row>
    <row r="302" spans="1:13" ht="12.75" hidden="1" customHeight="1" outlineLevel="3" x14ac:dyDescent="0.2">
      <c r="A302" s="144" t="str">
        <f>"      "&amp;Labels!B170</f>
        <v xml:space="preserve">      Invest 1</v>
      </c>
      <c r="B302" s="159">
        <f>SUM(B294,B298)</f>
        <v>0</v>
      </c>
      <c r="C302" s="69">
        <f>SUM(B294,B298)</f>
        <v>0</v>
      </c>
      <c r="D302" s="159">
        <f t="shared" ref="D302:G304" si="53">SUM(D294,D298)</f>
        <v>0</v>
      </c>
      <c r="E302" s="159">
        <f t="shared" si="53"/>
        <v>0</v>
      </c>
      <c r="F302" s="159">
        <f t="shared" si="53"/>
        <v>0</v>
      </c>
      <c r="G302" s="159">
        <f t="shared" si="53"/>
        <v>0</v>
      </c>
      <c r="H302" s="69">
        <f>SUM(G294,G298)</f>
        <v>0</v>
      </c>
      <c r="I302" s="159">
        <f t="shared" ref="I302:L304" si="54">SUM(I294,I298)</f>
        <v>0</v>
      </c>
      <c r="J302" s="159">
        <f t="shared" si="54"/>
        <v>0</v>
      </c>
      <c r="K302" s="159">
        <f t="shared" si="54"/>
        <v>0</v>
      </c>
      <c r="L302" s="159">
        <f t="shared" si="54"/>
        <v>0</v>
      </c>
      <c r="M302" s="69">
        <f>SUM(L294,L298)</f>
        <v>0</v>
      </c>
    </row>
    <row r="303" spans="1:13" ht="12.75" hidden="1" customHeight="1" outlineLevel="3" x14ac:dyDescent="0.2">
      <c r="A303" s="144" t="str">
        <f>"      "&amp;Labels!B171</f>
        <v xml:space="preserve">      Invest 2</v>
      </c>
      <c r="B303" s="159">
        <f>SUM(B295,B299)</f>
        <v>0</v>
      </c>
      <c r="C303" s="69">
        <f>SUM(B295,B299)</f>
        <v>0</v>
      </c>
      <c r="D303" s="159">
        <f t="shared" si="53"/>
        <v>0</v>
      </c>
      <c r="E303" s="159">
        <f t="shared" si="53"/>
        <v>0</v>
      </c>
      <c r="F303" s="159">
        <f t="shared" si="53"/>
        <v>0</v>
      </c>
      <c r="G303" s="159">
        <f t="shared" si="53"/>
        <v>0</v>
      </c>
      <c r="H303" s="69">
        <f>SUM(G295,G299)</f>
        <v>0</v>
      </c>
      <c r="I303" s="159">
        <f t="shared" si="54"/>
        <v>0</v>
      </c>
      <c r="J303" s="159">
        <f t="shared" si="54"/>
        <v>0</v>
      </c>
      <c r="K303" s="159">
        <f t="shared" si="54"/>
        <v>0</v>
      </c>
      <c r="L303" s="159">
        <f t="shared" si="54"/>
        <v>0</v>
      </c>
      <c r="M303" s="69">
        <f>SUM(L295,L299)</f>
        <v>0</v>
      </c>
    </row>
    <row r="304" spans="1:13" ht="12.75" hidden="1" customHeight="1" outlineLevel="3" x14ac:dyDescent="0.2">
      <c r="A304" s="114" t="str">
        <f>"      "&amp;Labels!C169</f>
        <v xml:space="preserve">      Total</v>
      </c>
      <c r="B304" s="113">
        <f>SUM(B296,B300)</f>
        <v>0</v>
      </c>
      <c r="C304" s="69">
        <f>SUM(B296,B300)</f>
        <v>0</v>
      </c>
      <c r="D304" s="113">
        <f t="shared" si="53"/>
        <v>0</v>
      </c>
      <c r="E304" s="113">
        <f t="shared" si="53"/>
        <v>0</v>
      </c>
      <c r="F304" s="113">
        <f t="shared" si="53"/>
        <v>0</v>
      </c>
      <c r="G304" s="113">
        <f t="shared" si="53"/>
        <v>0</v>
      </c>
      <c r="H304" s="69">
        <f>SUM(G296,G300)</f>
        <v>0</v>
      </c>
      <c r="I304" s="113">
        <f t="shared" si="54"/>
        <v>0</v>
      </c>
      <c r="J304" s="113">
        <f t="shared" si="54"/>
        <v>0</v>
      </c>
      <c r="K304" s="113">
        <f t="shared" si="54"/>
        <v>0</v>
      </c>
      <c r="L304" s="113">
        <f t="shared" si="54"/>
        <v>0</v>
      </c>
      <c r="M304" s="69">
        <f>SUM(L296,L300)</f>
        <v>0</v>
      </c>
    </row>
    <row r="305" spans="1:13" ht="12.75" hidden="1" customHeight="1" outlineLevel="3" x14ac:dyDescent="0.2">
      <c r="A305" s="12"/>
      <c r="B305" s="10"/>
      <c r="C305" s="12"/>
      <c r="D305" s="10"/>
      <c r="E305" s="10"/>
      <c r="F305" s="10"/>
      <c r="G305" s="10"/>
      <c r="H305" s="12"/>
      <c r="I305" s="10"/>
      <c r="J305" s="10"/>
      <c r="K305" s="10"/>
      <c r="L305" s="10"/>
      <c r="M305" s="12"/>
    </row>
    <row r="306" spans="1:13" ht="12.75" hidden="1" customHeight="1" outlineLevel="3" x14ac:dyDescent="0.2">
      <c r="A306" s="117" t="str">
        <f>Labels!B33</f>
        <v>Change Debt Principal</v>
      </c>
      <c r="B306" s="120"/>
      <c r="C306" s="69"/>
      <c r="D306" s="120"/>
      <c r="E306" s="120"/>
      <c r="F306" s="120"/>
      <c r="G306" s="120"/>
      <c r="H306" s="69"/>
      <c r="I306" s="120"/>
      <c r="J306" s="120"/>
      <c r="K306" s="120"/>
      <c r="L306" s="120"/>
      <c r="M306" s="69"/>
    </row>
    <row r="307" spans="1:13" ht="12.75" hidden="1" customHeight="1" outlineLevel="3" x14ac:dyDescent="0.2">
      <c r="A307" s="114" t="str">
        <f>"   "&amp;Labels!B182</f>
        <v xml:space="preserve">   Catamarans</v>
      </c>
      <c r="B307" s="113"/>
      <c r="C307" s="69"/>
      <c r="D307" s="113"/>
      <c r="E307" s="113"/>
      <c r="F307" s="113"/>
      <c r="G307" s="113"/>
      <c r="H307" s="69"/>
      <c r="I307" s="113"/>
      <c r="J307" s="113"/>
      <c r="K307" s="113"/>
      <c r="L307" s="113"/>
      <c r="M307" s="69"/>
    </row>
    <row r="308" spans="1:13" ht="12.75" hidden="1" customHeight="1" outlineLevel="3" x14ac:dyDescent="0.2">
      <c r="A308" s="144" t="str">
        <f>"      "&amp;Labels!B170</f>
        <v xml:space="preserve">      Invest 1</v>
      </c>
      <c r="B308" s="159">
        <f>IF('(Tables)'!B171=0,0,PPMT('(Tables)'!B190,'(Tables)'!B171,'(Tables)'!B184,Inputs!E167-B278*Investment!D36)+IF('(Tables)'!B171='(Tables)'!B184,Inputs!E167,0))</f>
        <v>0</v>
      </c>
      <c r="C308" s="69">
        <f>B308</f>
        <v>0</v>
      </c>
      <c r="D308" s="159">
        <f>IF('(Tables)'!D171=0,0,PPMT('(Tables)'!D190,'(Tables)'!D171,'(Tables)'!B184,Inputs!E167-B278*Investment!D36)+IF('(Tables)'!D171='(Tables)'!B184,Inputs!E167,0))</f>
        <v>0</v>
      </c>
      <c r="E308" s="159">
        <f>IF('(Tables)'!E171=0,0,PPMT('(Tables)'!E190,'(Tables)'!E171,'(Tables)'!B184,Inputs!E167-B278*Investment!D36)+IF('(Tables)'!E171='(Tables)'!B184,Inputs!E167,0))</f>
        <v>0</v>
      </c>
      <c r="F308" s="159">
        <f>IF('(Tables)'!F171=0,0,PPMT('(Tables)'!F190,'(Tables)'!F171,'(Tables)'!B184,Inputs!E167-B278*Investment!D36)+IF('(Tables)'!F171='(Tables)'!B184,Inputs!E167,0))</f>
        <v>0</v>
      </c>
      <c r="G308" s="159">
        <f>IF('(Tables)'!G171=0,0,PPMT('(Tables)'!G190,'(Tables)'!G171,'(Tables)'!B184,Inputs!E167-B278*Investment!D36)+IF('(Tables)'!G171='(Tables)'!B184,Inputs!E167,0))</f>
        <v>0</v>
      </c>
      <c r="H308" s="69">
        <f>SUM(D308:G308)</f>
        <v>0</v>
      </c>
      <c r="I308" s="159">
        <f>IF('(Tables)'!I171=0,0,PPMT('(Tables)'!I190,'(Tables)'!I171,'(Tables)'!B184,Inputs!E167-B278*Investment!D36)+IF('(Tables)'!I171='(Tables)'!B184,Inputs!E167,0))</f>
        <v>0</v>
      </c>
      <c r="J308" s="159">
        <f>IF('(Tables)'!J171=0,0,PPMT('(Tables)'!J190,'(Tables)'!J171,'(Tables)'!B184,Inputs!E167-B278*Investment!D36)+IF('(Tables)'!J171='(Tables)'!B184,Inputs!E167,0))</f>
        <v>0</v>
      </c>
      <c r="K308" s="159">
        <f>IF('(Tables)'!K171=0,0,PPMT('(Tables)'!K190,'(Tables)'!K171,'(Tables)'!B184,Inputs!E167-B278*Investment!D36)+IF('(Tables)'!K171='(Tables)'!B184,Inputs!E167,0))</f>
        <v>0</v>
      </c>
      <c r="L308" s="159">
        <f>IF('(Tables)'!L171=0,0,PPMT('(Tables)'!L190,'(Tables)'!L171,'(Tables)'!B184,Inputs!E167-B278*Investment!D36)+IF('(Tables)'!L171='(Tables)'!B184,Inputs!E167,0))</f>
        <v>0</v>
      </c>
      <c r="M308" s="69">
        <f>SUM(I308:L308)</f>
        <v>0</v>
      </c>
    </row>
    <row r="309" spans="1:13" ht="12.75" hidden="1" customHeight="1" outlineLevel="3" x14ac:dyDescent="0.2">
      <c r="A309" s="144" t="str">
        <f>"      "&amp;Labels!B171</f>
        <v xml:space="preserve">      Invest 2</v>
      </c>
      <c r="B309" s="159">
        <f>IF('(Tables)'!B172=0,0,PPMT('(Tables)'!B191,'(Tables)'!B172,'(Tables)'!B185,Inputs!E168-C278*Investment!D37)+IF('(Tables)'!B172='(Tables)'!B185,Inputs!E168,0))</f>
        <v>0</v>
      </c>
      <c r="C309" s="69">
        <f>B309</f>
        <v>0</v>
      </c>
      <c r="D309" s="159">
        <f>IF('(Tables)'!D172=0,0,PPMT('(Tables)'!D191,'(Tables)'!D172,'(Tables)'!B185,Inputs!E168-C278*Investment!D37)+IF('(Tables)'!D172='(Tables)'!B185,Inputs!E168,0))</f>
        <v>0</v>
      </c>
      <c r="E309" s="159">
        <f>IF('(Tables)'!E172=0,0,PPMT('(Tables)'!E191,'(Tables)'!E172,'(Tables)'!B185,Inputs!E168-C278*Investment!D37)+IF('(Tables)'!E172='(Tables)'!B185,Inputs!E168,0))</f>
        <v>0</v>
      </c>
      <c r="F309" s="159">
        <f>IF('(Tables)'!F172=0,0,PPMT('(Tables)'!F191,'(Tables)'!F172,'(Tables)'!B185,Inputs!E168-C278*Investment!D37)+IF('(Tables)'!F172='(Tables)'!B185,Inputs!E168,0))</f>
        <v>0</v>
      </c>
      <c r="G309" s="159">
        <f>IF('(Tables)'!G172=0,0,PPMT('(Tables)'!G191,'(Tables)'!G172,'(Tables)'!B185,Inputs!E168-C278*Investment!D37)+IF('(Tables)'!G172='(Tables)'!B185,Inputs!E168,0))</f>
        <v>0</v>
      </c>
      <c r="H309" s="69">
        <f>SUM(D309:G309)</f>
        <v>0</v>
      </c>
      <c r="I309" s="159">
        <f>IF('(Tables)'!I172=0,0,PPMT('(Tables)'!I191,'(Tables)'!I172,'(Tables)'!B185,Inputs!E168-C278*Investment!D37)+IF('(Tables)'!I172='(Tables)'!B185,Inputs!E168,0))</f>
        <v>0</v>
      </c>
      <c r="J309" s="159">
        <f>IF('(Tables)'!J172=0,0,PPMT('(Tables)'!J191,'(Tables)'!J172,'(Tables)'!B185,Inputs!E168-C278*Investment!D37)+IF('(Tables)'!J172='(Tables)'!B185,Inputs!E168,0))</f>
        <v>0</v>
      </c>
      <c r="K309" s="159">
        <f>IF('(Tables)'!K172=0,0,PPMT('(Tables)'!K191,'(Tables)'!K172,'(Tables)'!B185,Inputs!E168-C278*Investment!D37)+IF('(Tables)'!K172='(Tables)'!B185,Inputs!E168,0))</f>
        <v>0</v>
      </c>
      <c r="L309" s="159">
        <f>IF('(Tables)'!L172=0,0,PPMT('(Tables)'!L191,'(Tables)'!L172,'(Tables)'!B185,Inputs!E168-C278*Investment!D37)+IF('(Tables)'!L172='(Tables)'!B185,Inputs!E168,0))</f>
        <v>0</v>
      </c>
      <c r="M309" s="69">
        <f>SUM(I309:L309)</f>
        <v>0</v>
      </c>
    </row>
    <row r="310" spans="1:13" ht="12.75" hidden="1" customHeight="1" outlineLevel="3" x14ac:dyDescent="0.2">
      <c r="A310" s="114" t="str">
        <f>"      "&amp;Labels!C169</f>
        <v xml:space="preserve">      Total</v>
      </c>
      <c r="B310" s="113">
        <f>SUM(B308:B309)</f>
        <v>0</v>
      </c>
      <c r="C310" s="69">
        <f>SUM(B308:B309)</f>
        <v>0</v>
      </c>
      <c r="D310" s="113">
        <f>SUM(D308:D309)</f>
        <v>0</v>
      </c>
      <c r="E310" s="113">
        <f>SUM(E308:E309)</f>
        <v>0</v>
      </c>
      <c r="F310" s="113">
        <f>SUM(F308:F309)</f>
        <v>0</v>
      </c>
      <c r="G310" s="113">
        <f>SUM(G308:G309)</f>
        <v>0</v>
      </c>
      <c r="H310" s="69">
        <f>SUM(D310:G310)</f>
        <v>0</v>
      </c>
      <c r="I310" s="113">
        <f>SUM(I308:I309)</f>
        <v>0</v>
      </c>
      <c r="J310" s="113">
        <f>SUM(J308:J309)</f>
        <v>0</v>
      </c>
      <c r="K310" s="113">
        <f>SUM(K308:K309)</f>
        <v>0</v>
      </c>
      <c r="L310" s="113">
        <f>SUM(L308:L309)</f>
        <v>0</v>
      </c>
      <c r="M310" s="69">
        <f>SUM(I310:L310)</f>
        <v>0</v>
      </c>
    </row>
    <row r="311" spans="1:13" ht="12.75" hidden="1" customHeight="1" outlineLevel="3" x14ac:dyDescent="0.2">
      <c r="A311" s="114" t="str">
        <f>"   "&amp;Labels!B183</f>
        <v xml:space="preserve">   Canoes</v>
      </c>
      <c r="B311" s="113"/>
      <c r="C311" s="69"/>
      <c r="D311" s="113"/>
      <c r="E311" s="113"/>
      <c r="F311" s="113"/>
      <c r="G311" s="113"/>
      <c r="H311" s="69"/>
      <c r="I311" s="113"/>
      <c r="J311" s="113"/>
      <c r="K311" s="113"/>
      <c r="L311" s="113"/>
      <c r="M311" s="69"/>
    </row>
    <row r="312" spans="1:13" ht="12.75" hidden="1" customHeight="1" outlineLevel="3" x14ac:dyDescent="0.2">
      <c r="A312" s="144" t="str">
        <f>"      "&amp;Labels!B170</f>
        <v xml:space="preserve">      Invest 1</v>
      </c>
      <c r="B312" s="159">
        <f>IF('(Tables)'!B175=0,0,PPMT('(Tables)'!B194,'(Tables)'!B175,'(Tables)'!C184,Inputs!F167-E278*Investment!D40)+IF('(Tables)'!B175='(Tables)'!C184,Inputs!F167,0))</f>
        <v>0</v>
      </c>
      <c r="C312" s="69">
        <f>B312</f>
        <v>0</v>
      </c>
      <c r="D312" s="159">
        <f>IF('(Tables)'!D175=0,0,PPMT('(Tables)'!D194,'(Tables)'!D175,'(Tables)'!C184,Inputs!F167-E278*Investment!D40)+IF('(Tables)'!D175='(Tables)'!C184,Inputs!F167,0))</f>
        <v>0</v>
      </c>
      <c r="E312" s="159">
        <f>IF('(Tables)'!E175=0,0,PPMT('(Tables)'!E194,'(Tables)'!E175,'(Tables)'!C184,Inputs!F167-E278*Investment!D40)+IF('(Tables)'!E175='(Tables)'!C184,Inputs!F167,0))</f>
        <v>0</v>
      </c>
      <c r="F312" s="159">
        <f>IF('(Tables)'!F175=0,0,PPMT('(Tables)'!F194,'(Tables)'!F175,'(Tables)'!C184,Inputs!F167-E278*Investment!D40)+IF('(Tables)'!F175='(Tables)'!C184,Inputs!F167,0))</f>
        <v>0</v>
      </c>
      <c r="G312" s="159">
        <f>IF('(Tables)'!G175=0,0,PPMT('(Tables)'!G194,'(Tables)'!G175,'(Tables)'!C184,Inputs!F167-E278*Investment!D40)+IF('(Tables)'!G175='(Tables)'!C184,Inputs!F167,0))</f>
        <v>0</v>
      </c>
      <c r="H312" s="69">
        <f t="shared" ref="H312:H317" si="55">SUM(D312:G312)</f>
        <v>0</v>
      </c>
      <c r="I312" s="159">
        <f>IF('(Tables)'!I175=0,0,PPMT('(Tables)'!I194,'(Tables)'!I175,'(Tables)'!C184,Inputs!F167-E278*Investment!D40)+IF('(Tables)'!I175='(Tables)'!C184,Inputs!F167,0))</f>
        <v>0</v>
      </c>
      <c r="J312" s="159">
        <f>IF('(Tables)'!J175=0,0,PPMT('(Tables)'!J194,'(Tables)'!J175,'(Tables)'!C184,Inputs!F167-E278*Investment!D40)+IF('(Tables)'!J175='(Tables)'!C184,Inputs!F167,0))</f>
        <v>0</v>
      </c>
      <c r="K312" s="159">
        <f>IF('(Tables)'!K175=0,0,PPMT('(Tables)'!K194,'(Tables)'!K175,'(Tables)'!C184,Inputs!F167-E278*Investment!D40)+IF('(Tables)'!K175='(Tables)'!C184,Inputs!F167,0))</f>
        <v>0</v>
      </c>
      <c r="L312" s="159">
        <f>IF('(Tables)'!L175=0,0,PPMT('(Tables)'!L194,'(Tables)'!L175,'(Tables)'!C184,Inputs!F167-E278*Investment!D40)+IF('(Tables)'!L175='(Tables)'!C184,Inputs!F167,0))</f>
        <v>0</v>
      </c>
      <c r="M312" s="69">
        <f t="shared" ref="M312:M317" si="56">SUM(I312:L312)</f>
        <v>0</v>
      </c>
    </row>
    <row r="313" spans="1:13" ht="12.75" hidden="1" customHeight="1" outlineLevel="3" x14ac:dyDescent="0.2">
      <c r="A313" s="144" t="str">
        <f>"      "&amp;Labels!B171</f>
        <v xml:space="preserve">      Invest 2</v>
      </c>
      <c r="B313" s="159">
        <f>IF('(Tables)'!B176=0,0,PPMT('(Tables)'!B195,'(Tables)'!B176,'(Tables)'!C185,Inputs!F168-F278*Investment!D41)+IF('(Tables)'!B176='(Tables)'!C185,Inputs!F168,0))</f>
        <v>0</v>
      </c>
      <c r="C313" s="69">
        <f>B313</f>
        <v>0</v>
      </c>
      <c r="D313" s="159">
        <f>IF('(Tables)'!D176=0,0,PPMT('(Tables)'!D195,'(Tables)'!D176,'(Tables)'!C185,Inputs!F168-F278*Investment!D41)+IF('(Tables)'!D176='(Tables)'!C185,Inputs!F168,0))</f>
        <v>0</v>
      </c>
      <c r="E313" s="159">
        <f>IF('(Tables)'!E176=0,0,PPMT('(Tables)'!E195,'(Tables)'!E176,'(Tables)'!C185,Inputs!F168-F278*Investment!D41)+IF('(Tables)'!E176='(Tables)'!C185,Inputs!F168,0))</f>
        <v>0</v>
      </c>
      <c r="F313" s="159">
        <f>IF('(Tables)'!F176=0,0,PPMT('(Tables)'!F195,'(Tables)'!F176,'(Tables)'!C185,Inputs!F168-F278*Investment!D41)+IF('(Tables)'!F176='(Tables)'!C185,Inputs!F168,0))</f>
        <v>0</v>
      </c>
      <c r="G313" s="159">
        <f>IF('(Tables)'!G176=0,0,PPMT('(Tables)'!G195,'(Tables)'!G176,'(Tables)'!C185,Inputs!F168-F278*Investment!D41)+IF('(Tables)'!G176='(Tables)'!C185,Inputs!F168,0))</f>
        <v>0</v>
      </c>
      <c r="H313" s="69">
        <f t="shared" si="55"/>
        <v>0</v>
      </c>
      <c r="I313" s="159">
        <f>IF('(Tables)'!I176=0,0,PPMT('(Tables)'!I195,'(Tables)'!I176,'(Tables)'!C185,Inputs!F168-F278*Investment!D41)+IF('(Tables)'!I176='(Tables)'!C185,Inputs!F168,0))</f>
        <v>0</v>
      </c>
      <c r="J313" s="159">
        <f>IF('(Tables)'!J176=0,0,PPMT('(Tables)'!J195,'(Tables)'!J176,'(Tables)'!C185,Inputs!F168-F278*Investment!D41)+IF('(Tables)'!J176='(Tables)'!C185,Inputs!F168,0))</f>
        <v>0</v>
      </c>
      <c r="K313" s="159">
        <f>IF('(Tables)'!K176=0,0,PPMT('(Tables)'!K195,'(Tables)'!K176,'(Tables)'!C185,Inputs!F168-F278*Investment!D41)+IF('(Tables)'!K176='(Tables)'!C185,Inputs!F168,0))</f>
        <v>0</v>
      </c>
      <c r="L313" s="159">
        <f>IF('(Tables)'!L176=0,0,PPMT('(Tables)'!L195,'(Tables)'!L176,'(Tables)'!C185,Inputs!F168-F278*Investment!D41)+IF('(Tables)'!L176='(Tables)'!C185,Inputs!F168,0))</f>
        <v>0</v>
      </c>
      <c r="M313" s="69">
        <f t="shared" si="56"/>
        <v>0</v>
      </c>
    </row>
    <row r="314" spans="1:13" ht="12.75" hidden="1" customHeight="1" outlineLevel="3" x14ac:dyDescent="0.2">
      <c r="A314" s="114" t="str">
        <f>"      "&amp;Labels!C169</f>
        <v xml:space="preserve">      Total</v>
      </c>
      <c r="B314" s="113">
        <f>SUM(B312:B313)</f>
        <v>0</v>
      </c>
      <c r="C314" s="69">
        <f>SUM(B312:B313)</f>
        <v>0</v>
      </c>
      <c r="D314" s="113">
        <f>SUM(D312:D313)</f>
        <v>0</v>
      </c>
      <c r="E314" s="113">
        <f>SUM(E312:E313)</f>
        <v>0</v>
      </c>
      <c r="F314" s="113">
        <f>SUM(F312:F313)</f>
        <v>0</v>
      </c>
      <c r="G314" s="113">
        <f>SUM(G312:G313)</f>
        <v>0</v>
      </c>
      <c r="H314" s="69">
        <f t="shared" si="55"/>
        <v>0</v>
      </c>
      <c r="I314" s="113">
        <f>SUM(I312:I313)</f>
        <v>0</v>
      </c>
      <c r="J314" s="113">
        <f>SUM(J312:J313)</f>
        <v>0</v>
      </c>
      <c r="K314" s="113">
        <f>SUM(K312:K313)</f>
        <v>0</v>
      </c>
      <c r="L314" s="113">
        <f>SUM(L312:L313)</f>
        <v>0</v>
      </c>
      <c r="M314" s="69">
        <f t="shared" si="56"/>
        <v>0</v>
      </c>
    </row>
    <row r="315" spans="1:13" ht="12.75" hidden="1" customHeight="1" outlineLevel="3" x14ac:dyDescent="0.2">
      <c r="A315" s="117" t="str">
        <f>"   "&amp;Labels!C181</f>
        <v xml:space="preserve">   Total</v>
      </c>
      <c r="B315" s="120">
        <f>SUM(B310,B314)</f>
        <v>0</v>
      </c>
      <c r="C315" s="69">
        <f>SUM(B310,B314)</f>
        <v>0</v>
      </c>
      <c r="D315" s="120">
        <f>SUM(D310,D314)</f>
        <v>0</v>
      </c>
      <c r="E315" s="120">
        <f>SUM(E310,E314)</f>
        <v>0</v>
      </c>
      <c r="F315" s="120">
        <f>SUM(F310,F314)</f>
        <v>0</v>
      </c>
      <c r="G315" s="120">
        <f>SUM(G310,G314)</f>
        <v>0</v>
      </c>
      <c r="H315" s="69">
        <f t="shared" si="55"/>
        <v>0</v>
      </c>
      <c r="I315" s="120">
        <f>SUM(I310,I314)</f>
        <v>0</v>
      </c>
      <c r="J315" s="120">
        <f>SUM(J310,J314)</f>
        <v>0</v>
      </c>
      <c r="K315" s="120">
        <f>SUM(K310,K314)</f>
        <v>0</v>
      </c>
      <c r="L315" s="120">
        <f>SUM(L310,L314)</f>
        <v>0</v>
      </c>
      <c r="M315" s="69">
        <f t="shared" si="56"/>
        <v>0</v>
      </c>
    </row>
    <row r="316" spans="1:13" ht="12.75" hidden="1" customHeight="1" outlineLevel="3" x14ac:dyDescent="0.2">
      <c r="A316" s="144" t="str">
        <f>"      "&amp;Labels!B170</f>
        <v xml:space="preserve">      Invest 1</v>
      </c>
      <c r="B316" s="159">
        <f>SUM(B308,B312)</f>
        <v>0</v>
      </c>
      <c r="C316" s="69">
        <f>SUM(B308,B312)</f>
        <v>0</v>
      </c>
      <c r="D316" s="159">
        <f t="shared" ref="D316:G318" si="57">SUM(D308,D312)</f>
        <v>0</v>
      </c>
      <c r="E316" s="159">
        <f t="shared" si="57"/>
        <v>0</v>
      </c>
      <c r="F316" s="159">
        <f t="shared" si="57"/>
        <v>0</v>
      </c>
      <c r="G316" s="159">
        <f t="shared" si="57"/>
        <v>0</v>
      </c>
      <c r="H316" s="69">
        <f t="shared" si="55"/>
        <v>0</v>
      </c>
      <c r="I316" s="159">
        <f t="shared" ref="I316:L318" si="58">SUM(I308,I312)</f>
        <v>0</v>
      </c>
      <c r="J316" s="159">
        <f t="shared" si="58"/>
        <v>0</v>
      </c>
      <c r="K316" s="159">
        <f t="shared" si="58"/>
        <v>0</v>
      </c>
      <c r="L316" s="159">
        <f t="shared" si="58"/>
        <v>0</v>
      </c>
      <c r="M316" s="69">
        <f t="shared" si="56"/>
        <v>0</v>
      </c>
    </row>
    <row r="317" spans="1:13" ht="12.75" hidden="1" customHeight="1" outlineLevel="3" x14ac:dyDescent="0.2">
      <c r="A317" s="144" t="str">
        <f>"      "&amp;Labels!B171</f>
        <v xml:space="preserve">      Invest 2</v>
      </c>
      <c r="B317" s="159">
        <f>SUM(B309,B313)</f>
        <v>0</v>
      </c>
      <c r="C317" s="69">
        <f>SUM(B309,B313)</f>
        <v>0</v>
      </c>
      <c r="D317" s="159">
        <f t="shared" si="57"/>
        <v>0</v>
      </c>
      <c r="E317" s="159">
        <f t="shared" si="57"/>
        <v>0</v>
      </c>
      <c r="F317" s="159">
        <f t="shared" si="57"/>
        <v>0</v>
      </c>
      <c r="G317" s="159">
        <f t="shared" si="57"/>
        <v>0</v>
      </c>
      <c r="H317" s="69">
        <f t="shared" si="55"/>
        <v>0</v>
      </c>
      <c r="I317" s="159">
        <f t="shared" si="58"/>
        <v>0</v>
      </c>
      <c r="J317" s="159">
        <f t="shared" si="58"/>
        <v>0</v>
      </c>
      <c r="K317" s="159">
        <f t="shared" si="58"/>
        <v>0</v>
      </c>
      <c r="L317" s="159">
        <f t="shared" si="58"/>
        <v>0</v>
      </c>
      <c r="M317" s="69">
        <f t="shared" si="56"/>
        <v>0</v>
      </c>
    </row>
    <row r="318" spans="1:13" ht="12.75" hidden="1" customHeight="1" outlineLevel="3" x14ac:dyDescent="0.2">
      <c r="A318" s="114" t="str">
        <f>"      "&amp;Labels!C169</f>
        <v xml:space="preserve">      Total</v>
      </c>
      <c r="B318" s="113">
        <f>SUM(B310,B314)</f>
        <v>0</v>
      </c>
      <c r="C318" s="69">
        <f>SUM(B310,B314)</f>
        <v>0</v>
      </c>
      <c r="D318" s="113">
        <f t="shared" si="57"/>
        <v>0</v>
      </c>
      <c r="E318" s="113">
        <f t="shared" si="57"/>
        <v>0</v>
      </c>
      <c r="F318" s="113">
        <f t="shared" si="57"/>
        <v>0</v>
      </c>
      <c r="G318" s="113">
        <f t="shared" si="57"/>
        <v>0</v>
      </c>
      <c r="H318" s="69">
        <f>SUM(D315:G315)</f>
        <v>0</v>
      </c>
      <c r="I318" s="113">
        <f t="shared" si="58"/>
        <v>0</v>
      </c>
      <c r="J318" s="113">
        <f t="shared" si="58"/>
        <v>0</v>
      </c>
      <c r="K318" s="113">
        <f t="shared" si="58"/>
        <v>0</v>
      </c>
      <c r="L318" s="113">
        <f t="shared" si="58"/>
        <v>0</v>
      </c>
      <c r="M318" s="69">
        <f>SUM(I315:L315)</f>
        <v>0</v>
      </c>
    </row>
    <row r="319" spans="1:13" ht="12.75" hidden="1" customHeight="1" outlineLevel="3" x14ac:dyDescent="0.2">
      <c r="A319" s="12"/>
      <c r="B319" s="10"/>
      <c r="C319" s="12"/>
      <c r="D319" s="10"/>
      <c r="E319" s="10"/>
      <c r="F319" s="10"/>
      <c r="G319" s="10"/>
      <c r="H319" s="12"/>
      <c r="I319" s="10"/>
      <c r="J319" s="10"/>
      <c r="K319" s="10"/>
      <c r="L319" s="10"/>
      <c r="M319" s="12"/>
    </row>
    <row r="320" spans="1:13" ht="12.75" hidden="1" customHeight="1" outlineLevel="3" x14ac:dyDescent="0.2">
      <c r="A320" s="117" t="str">
        <f>Labels!B31</f>
        <v>Debt Interest Payments</v>
      </c>
      <c r="B320" s="120"/>
      <c r="C320" s="69"/>
      <c r="D320" s="120"/>
      <c r="E320" s="120"/>
      <c r="F320" s="120"/>
      <c r="G320" s="120"/>
      <c r="H320" s="69"/>
      <c r="I320" s="120"/>
      <c r="J320" s="120"/>
      <c r="K320" s="120"/>
      <c r="L320" s="120"/>
      <c r="M320" s="69"/>
    </row>
    <row r="321" spans="1:13" ht="12.75" hidden="1" customHeight="1" outlineLevel="3" x14ac:dyDescent="0.2">
      <c r="A321" s="114" t="str">
        <f>"   "&amp;Labels!B182</f>
        <v xml:space="preserve">   Catamarans</v>
      </c>
      <c r="B321" s="113"/>
      <c r="C321" s="69"/>
      <c r="D321" s="113"/>
      <c r="E321" s="113"/>
      <c r="F321" s="113"/>
      <c r="G321" s="113"/>
      <c r="H321" s="69"/>
      <c r="I321" s="113"/>
      <c r="J321" s="113"/>
      <c r="K321" s="113"/>
      <c r="L321" s="113"/>
      <c r="M321" s="69"/>
    </row>
    <row r="322" spans="1:13" ht="12.75" hidden="1" customHeight="1" outlineLevel="3" x14ac:dyDescent="0.2">
      <c r="A322" s="144" t="str">
        <f>"      "&amp;Labels!B170</f>
        <v xml:space="preserve">      Invest 1</v>
      </c>
      <c r="B322" s="159">
        <f>IF('(Tables)'!B171=0,0,IPMT('(Tables)'!B190,'(Tables)'!B171,'(Tables)'!B184,Inputs!E167-B278*Investment!D36)+Inputs!E167*'(Tables)'!B190)</f>
        <v>0</v>
      </c>
      <c r="C322" s="69">
        <f>B322</f>
        <v>0</v>
      </c>
      <c r="D322" s="159">
        <f>IF('(Tables)'!D171=0,0,IPMT('(Tables)'!D190,'(Tables)'!D171,'(Tables)'!B184,Inputs!E167-B278*Investment!D36)+Inputs!E167*'(Tables)'!D190)</f>
        <v>0</v>
      </c>
      <c r="E322" s="159">
        <f>IF('(Tables)'!E171=0,0,IPMT('(Tables)'!E190,'(Tables)'!E171,'(Tables)'!B184,Inputs!E167-B278*Investment!D36)+Inputs!E167*'(Tables)'!E190)</f>
        <v>0</v>
      </c>
      <c r="F322" s="159">
        <f>IF('(Tables)'!F171=0,0,IPMT('(Tables)'!F190,'(Tables)'!F171,'(Tables)'!B184,Inputs!E167-B278*Investment!D36)+Inputs!E167*'(Tables)'!F190)</f>
        <v>0</v>
      </c>
      <c r="G322" s="159">
        <f>IF('(Tables)'!G171=0,0,IPMT('(Tables)'!G190,'(Tables)'!G171,'(Tables)'!B184,Inputs!E167-B278*Investment!D36)+Inputs!E167*'(Tables)'!G190)</f>
        <v>0</v>
      </c>
      <c r="H322" s="69">
        <f>SUM(D322:G322)</f>
        <v>0</v>
      </c>
      <c r="I322" s="159">
        <f>IF('(Tables)'!I171=0,0,IPMT('(Tables)'!I190,'(Tables)'!I171,'(Tables)'!B184,Inputs!E167-B278*Investment!D36)+Inputs!E167*'(Tables)'!I190)</f>
        <v>0</v>
      </c>
      <c r="J322" s="159">
        <f>IF('(Tables)'!J171=0,0,IPMT('(Tables)'!J190,'(Tables)'!J171,'(Tables)'!B184,Inputs!E167-B278*Investment!D36)+Inputs!E167*'(Tables)'!J190)</f>
        <v>0</v>
      </c>
      <c r="K322" s="159">
        <f>IF('(Tables)'!K171=0,0,IPMT('(Tables)'!K190,'(Tables)'!K171,'(Tables)'!B184,Inputs!E167-B278*Investment!D36)+Inputs!E167*'(Tables)'!K190)</f>
        <v>0</v>
      </c>
      <c r="L322" s="159">
        <f>IF('(Tables)'!L171=0,0,IPMT('(Tables)'!L190,'(Tables)'!L171,'(Tables)'!B184,Inputs!E167-B278*Investment!D36)+Inputs!E167*'(Tables)'!L190)</f>
        <v>0</v>
      </c>
      <c r="M322" s="69">
        <f>SUM(I322:L322)</f>
        <v>0</v>
      </c>
    </row>
    <row r="323" spans="1:13" ht="12.75" hidden="1" customHeight="1" outlineLevel="3" x14ac:dyDescent="0.2">
      <c r="A323" s="144" t="str">
        <f>"      "&amp;Labels!B171</f>
        <v xml:space="preserve">      Invest 2</v>
      </c>
      <c r="B323" s="159">
        <f>IF('(Tables)'!B172=0,0,IPMT('(Tables)'!B191,'(Tables)'!B172,'(Tables)'!B185,Inputs!E168-C278*Investment!D37)+Inputs!E168*'(Tables)'!B191)</f>
        <v>0</v>
      </c>
      <c r="C323" s="69">
        <f>B323</f>
        <v>0</v>
      </c>
      <c r="D323" s="159">
        <f>IF('(Tables)'!D172=0,0,IPMT('(Tables)'!D191,'(Tables)'!D172,'(Tables)'!B185,Inputs!E168-C278*Investment!D37)+Inputs!E168*'(Tables)'!D191)</f>
        <v>0</v>
      </c>
      <c r="E323" s="159">
        <f>IF('(Tables)'!E172=0,0,IPMT('(Tables)'!E191,'(Tables)'!E172,'(Tables)'!B185,Inputs!E168-C278*Investment!D37)+Inputs!E168*'(Tables)'!E191)</f>
        <v>0</v>
      </c>
      <c r="F323" s="159">
        <f>IF('(Tables)'!F172=0,0,IPMT('(Tables)'!F191,'(Tables)'!F172,'(Tables)'!B185,Inputs!E168-C278*Investment!D37)+Inputs!E168*'(Tables)'!F191)</f>
        <v>0</v>
      </c>
      <c r="G323" s="159">
        <f>IF('(Tables)'!G172=0,0,IPMT('(Tables)'!G191,'(Tables)'!G172,'(Tables)'!B185,Inputs!E168-C278*Investment!D37)+Inputs!E168*'(Tables)'!G191)</f>
        <v>0</v>
      </c>
      <c r="H323" s="69">
        <f>SUM(D323:G323)</f>
        <v>0</v>
      </c>
      <c r="I323" s="159">
        <f>IF('(Tables)'!I172=0,0,IPMT('(Tables)'!I191,'(Tables)'!I172,'(Tables)'!B185,Inputs!E168-C278*Investment!D37)+Inputs!E168*'(Tables)'!I191)</f>
        <v>0</v>
      </c>
      <c r="J323" s="159">
        <f>IF('(Tables)'!J172=0,0,IPMT('(Tables)'!J191,'(Tables)'!J172,'(Tables)'!B185,Inputs!E168-C278*Investment!D37)+Inputs!E168*'(Tables)'!J191)</f>
        <v>0</v>
      </c>
      <c r="K323" s="159">
        <f>IF('(Tables)'!K172=0,0,IPMT('(Tables)'!K191,'(Tables)'!K172,'(Tables)'!B185,Inputs!E168-C278*Investment!D37)+Inputs!E168*'(Tables)'!K191)</f>
        <v>0</v>
      </c>
      <c r="L323" s="159">
        <f>IF('(Tables)'!L172=0,0,IPMT('(Tables)'!L191,'(Tables)'!L172,'(Tables)'!B185,Inputs!E168-C278*Investment!D37)+Inputs!E168*'(Tables)'!L191)</f>
        <v>0</v>
      </c>
      <c r="M323" s="69">
        <f>SUM(I323:L323)</f>
        <v>0</v>
      </c>
    </row>
    <row r="324" spans="1:13" ht="12.75" hidden="1" customHeight="1" outlineLevel="3" x14ac:dyDescent="0.2">
      <c r="A324" s="114" t="str">
        <f>"      "&amp;Labels!C169</f>
        <v xml:space="preserve">      Total</v>
      </c>
      <c r="B324" s="113">
        <f>SUM(B322:B323)</f>
        <v>0</v>
      </c>
      <c r="C324" s="69">
        <f>SUM(B322:B323)</f>
        <v>0</v>
      </c>
      <c r="D324" s="113">
        <f>SUM(D322:D323)</f>
        <v>0</v>
      </c>
      <c r="E324" s="113">
        <f>SUM(E322:E323)</f>
        <v>0</v>
      </c>
      <c r="F324" s="113">
        <f>SUM(F322:F323)</f>
        <v>0</v>
      </c>
      <c r="G324" s="113">
        <f>SUM(G322:G323)</f>
        <v>0</v>
      </c>
      <c r="H324" s="69">
        <f>SUM(D324:G324)</f>
        <v>0</v>
      </c>
      <c r="I324" s="113">
        <f>SUM(I322:I323)</f>
        <v>0</v>
      </c>
      <c r="J324" s="113">
        <f>SUM(J322:J323)</f>
        <v>0</v>
      </c>
      <c r="K324" s="113">
        <f>SUM(K322:K323)</f>
        <v>0</v>
      </c>
      <c r="L324" s="113">
        <f>SUM(L322:L323)</f>
        <v>0</v>
      </c>
      <c r="M324" s="69">
        <f>SUM(I324:L324)</f>
        <v>0</v>
      </c>
    </row>
    <row r="325" spans="1:13" ht="12.75" hidden="1" customHeight="1" outlineLevel="3" x14ac:dyDescent="0.2">
      <c r="A325" s="114" t="str">
        <f>"   "&amp;Labels!B183</f>
        <v xml:space="preserve">   Canoes</v>
      </c>
      <c r="B325" s="113"/>
      <c r="C325" s="69"/>
      <c r="D325" s="113"/>
      <c r="E325" s="113"/>
      <c r="F325" s="113"/>
      <c r="G325" s="113"/>
      <c r="H325" s="69"/>
      <c r="I325" s="113"/>
      <c r="J325" s="113"/>
      <c r="K325" s="113"/>
      <c r="L325" s="113"/>
      <c r="M325" s="69"/>
    </row>
    <row r="326" spans="1:13" ht="12.75" hidden="1" customHeight="1" outlineLevel="3" x14ac:dyDescent="0.2">
      <c r="A326" s="144" t="str">
        <f>"      "&amp;Labels!B170</f>
        <v xml:space="preserve">      Invest 1</v>
      </c>
      <c r="B326" s="159">
        <f>IF('(Tables)'!B175=0,0,IPMT('(Tables)'!B194,'(Tables)'!B175,'(Tables)'!C184,Inputs!F167-E278*Investment!D40)+Inputs!F167*'(Tables)'!B194)</f>
        <v>0</v>
      </c>
      <c r="C326" s="69">
        <f>B326</f>
        <v>0</v>
      </c>
      <c r="D326" s="159">
        <f>IF('(Tables)'!D175=0,0,IPMT('(Tables)'!D194,'(Tables)'!D175,'(Tables)'!C184,Inputs!F167-E278*Investment!D40)+Inputs!F167*'(Tables)'!D194)</f>
        <v>0</v>
      </c>
      <c r="E326" s="159">
        <f>IF('(Tables)'!E175=0,0,IPMT('(Tables)'!E194,'(Tables)'!E175,'(Tables)'!C184,Inputs!F167-E278*Investment!D40)+Inputs!F167*'(Tables)'!E194)</f>
        <v>0</v>
      </c>
      <c r="F326" s="159">
        <f>IF('(Tables)'!F175=0,0,IPMT('(Tables)'!F194,'(Tables)'!F175,'(Tables)'!C184,Inputs!F167-E278*Investment!D40)+Inputs!F167*'(Tables)'!F194)</f>
        <v>0</v>
      </c>
      <c r="G326" s="159">
        <f>IF('(Tables)'!G175=0,0,IPMT('(Tables)'!G194,'(Tables)'!G175,'(Tables)'!C184,Inputs!F167-E278*Investment!D40)+Inputs!F167*'(Tables)'!G194)</f>
        <v>0</v>
      </c>
      <c r="H326" s="69">
        <f t="shared" ref="H326:H331" si="59">SUM(D326:G326)</f>
        <v>0</v>
      </c>
      <c r="I326" s="159">
        <f>IF('(Tables)'!I175=0,0,IPMT('(Tables)'!I194,'(Tables)'!I175,'(Tables)'!C184,Inputs!F167-E278*Investment!D40)+Inputs!F167*'(Tables)'!I194)</f>
        <v>0</v>
      </c>
      <c r="J326" s="159">
        <f>IF('(Tables)'!J175=0,0,IPMT('(Tables)'!J194,'(Tables)'!J175,'(Tables)'!C184,Inputs!F167-E278*Investment!D40)+Inputs!F167*'(Tables)'!J194)</f>
        <v>0</v>
      </c>
      <c r="K326" s="159">
        <f>IF('(Tables)'!K175=0,0,IPMT('(Tables)'!K194,'(Tables)'!K175,'(Tables)'!C184,Inputs!F167-E278*Investment!D40)+Inputs!F167*'(Tables)'!K194)</f>
        <v>0</v>
      </c>
      <c r="L326" s="159">
        <f>IF('(Tables)'!L175=0,0,IPMT('(Tables)'!L194,'(Tables)'!L175,'(Tables)'!C184,Inputs!F167-E278*Investment!D40)+Inputs!F167*'(Tables)'!L194)</f>
        <v>0</v>
      </c>
      <c r="M326" s="69">
        <f t="shared" ref="M326:M331" si="60">SUM(I326:L326)</f>
        <v>0</v>
      </c>
    </row>
    <row r="327" spans="1:13" ht="12.75" hidden="1" customHeight="1" outlineLevel="3" x14ac:dyDescent="0.2">
      <c r="A327" s="144" t="str">
        <f>"      "&amp;Labels!B171</f>
        <v xml:space="preserve">      Invest 2</v>
      </c>
      <c r="B327" s="159">
        <f>IF('(Tables)'!B176=0,0,IPMT('(Tables)'!B195,'(Tables)'!B176,'(Tables)'!C185,Inputs!F168-F278*Investment!D41)+Inputs!F168*'(Tables)'!B195)</f>
        <v>0</v>
      </c>
      <c r="C327" s="69">
        <f>B327</f>
        <v>0</v>
      </c>
      <c r="D327" s="159">
        <f>IF('(Tables)'!D176=0,0,IPMT('(Tables)'!D195,'(Tables)'!D176,'(Tables)'!C185,Inputs!F168-F278*Investment!D41)+Inputs!F168*'(Tables)'!D195)</f>
        <v>0</v>
      </c>
      <c r="E327" s="159">
        <f>IF('(Tables)'!E176=0,0,IPMT('(Tables)'!E195,'(Tables)'!E176,'(Tables)'!C185,Inputs!F168-F278*Investment!D41)+Inputs!F168*'(Tables)'!E195)</f>
        <v>0</v>
      </c>
      <c r="F327" s="159">
        <f>IF('(Tables)'!F176=0,0,IPMT('(Tables)'!F195,'(Tables)'!F176,'(Tables)'!C185,Inputs!F168-F278*Investment!D41)+Inputs!F168*'(Tables)'!F195)</f>
        <v>0</v>
      </c>
      <c r="G327" s="159">
        <f>IF('(Tables)'!G176=0,0,IPMT('(Tables)'!G195,'(Tables)'!G176,'(Tables)'!C185,Inputs!F168-F278*Investment!D41)+Inputs!F168*'(Tables)'!G195)</f>
        <v>0</v>
      </c>
      <c r="H327" s="69">
        <f t="shared" si="59"/>
        <v>0</v>
      </c>
      <c r="I327" s="159">
        <f>IF('(Tables)'!I176=0,0,IPMT('(Tables)'!I195,'(Tables)'!I176,'(Tables)'!C185,Inputs!F168-F278*Investment!D41)+Inputs!F168*'(Tables)'!I195)</f>
        <v>0</v>
      </c>
      <c r="J327" s="159">
        <f>IF('(Tables)'!J176=0,0,IPMT('(Tables)'!J195,'(Tables)'!J176,'(Tables)'!C185,Inputs!F168-F278*Investment!D41)+Inputs!F168*'(Tables)'!J195)</f>
        <v>0</v>
      </c>
      <c r="K327" s="159">
        <f>IF('(Tables)'!K176=0,0,IPMT('(Tables)'!K195,'(Tables)'!K176,'(Tables)'!C185,Inputs!F168-F278*Investment!D41)+Inputs!F168*'(Tables)'!K195)</f>
        <v>0</v>
      </c>
      <c r="L327" s="159">
        <f>IF('(Tables)'!L176=0,0,IPMT('(Tables)'!L195,'(Tables)'!L176,'(Tables)'!C185,Inputs!F168-F278*Investment!D41)+Inputs!F168*'(Tables)'!L195)</f>
        <v>0</v>
      </c>
      <c r="M327" s="69">
        <f t="shared" si="60"/>
        <v>0</v>
      </c>
    </row>
    <row r="328" spans="1:13" ht="12.75" hidden="1" customHeight="1" outlineLevel="3" x14ac:dyDescent="0.2">
      <c r="A328" s="114" t="str">
        <f>"      "&amp;Labels!C169</f>
        <v xml:space="preserve">      Total</v>
      </c>
      <c r="B328" s="113">
        <f>SUM(B326:B327)</f>
        <v>0</v>
      </c>
      <c r="C328" s="69">
        <f>SUM(B326:B327)</f>
        <v>0</v>
      </c>
      <c r="D328" s="113">
        <f>SUM(D326:D327)</f>
        <v>0</v>
      </c>
      <c r="E328" s="113">
        <f>SUM(E326:E327)</f>
        <v>0</v>
      </c>
      <c r="F328" s="113">
        <f>SUM(F326:F327)</f>
        <v>0</v>
      </c>
      <c r="G328" s="113">
        <f>SUM(G326:G327)</f>
        <v>0</v>
      </c>
      <c r="H328" s="69">
        <f t="shared" si="59"/>
        <v>0</v>
      </c>
      <c r="I328" s="113">
        <f>SUM(I326:I327)</f>
        <v>0</v>
      </c>
      <c r="J328" s="113">
        <f>SUM(J326:J327)</f>
        <v>0</v>
      </c>
      <c r="K328" s="113">
        <f>SUM(K326:K327)</f>
        <v>0</v>
      </c>
      <c r="L328" s="113">
        <f>SUM(L326:L327)</f>
        <v>0</v>
      </c>
      <c r="M328" s="69">
        <f t="shared" si="60"/>
        <v>0</v>
      </c>
    </row>
    <row r="329" spans="1:13" ht="12.75" hidden="1" customHeight="1" outlineLevel="3" x14ac:dyDescent="0.2">
      <c r="A329" s="117" t="str">
        <f>"   "&amp;Labels!C181</f>
        <v xml:space="preserve">   Total</v>
      </c>
      <c r="B329" s="120">
        <f>SUM(B324,B328)</f>
        <v>0</v>
      </c>
      <c r="C329" s="69">
        <f>SUM(B324,B328)</f>
        <v>0</v>
      </c>
      <c r="D329" s="120">
        <f>SUM(D324,D328)</f>
        <v>0</v>
      </c>
      <c r="E329" s="120">
        <f>SUM(E324,E328)</f>
        <v>0</v>
      </c>
      <c r="F329" s="120">
        <f>SUM(F324,F328)</f>
        <v>0</v>
      </c>
      <c r="G329" s="120">
        <f>SUM(G324,G328)</f>
        <v>0</v>
      </c>
      <c r="H329" s="69">
        <f t="shared" si="59"/>
        <v>0</v>
      </c>
      <c r="I329" s="120">
        <f>SUM(I324,I328)</f>
        <v>0</v>
      </c>
      <c r="J329" s="120">
        <f>SUM(J324,J328)</f>
        <v>0</v>
      </c>
      <c r="K329" s="120">
        <f>SUM(K324,K328)</f>
        <v>0</v>
      </c>
      <c r="L329" s="120">
        <f>SUM(L324,L328)</f>
        <v>0</v>
      </c>
      <c r="M329" s="69">
        <f t="shared" si="60"/>
        <v>0</v>
      </c>
    </row>
    <row r="330" spans="1:13" ht="12.75" hidden="1" customHeight="1" outlineLevel="3" x14ac:dyDescent="0.2">
      <c r="A330" s="144" t="str">
        <f>"      "&amp;Labels!B170</f>
        <v xml:space="preserve">      Invest 1</v>
      </c>
      <c r="B330" s="159">
        <f>SUM(B322,B326)</f>
        <v>0</v>
      </c>
      <c r="C330" s="69">
        <f>SUM(B322,B326)</f>
        <v>0</v>
      </c>
      <c r="D330" s="159">
        <f t="shared" ref="D330:G332" si="61">SUM(D322,D326)</f>
        <v>0</v>
      </c>
      <c r="E330" s="159">
        <f t="shared" si="61"/>
        <v>0</v>
      </c>
      <c r="F330" s="159">
        <f t="shared" si="61"/>
        <v>0</v>
      </c>
      <c r="G330" s="159">
        <f t="shared" si="61"/>
        <v>0</v>
      </c>
      <c r="H330" s="69">
        <f t="shared" si="59"/>
        <v>0</v>
      </c>
      <c r="I330" s="159">
        <f t="shared" ref="I330:L332" si="62">SUM(I322,I326)</f>
        <v>0</v>
      </c>
      <c r="J330" s="159">
        <f t="shared" si="62"/>
        <v>0</v>
      </c>
      <c r="K330" s="159">
        <f t="shared" si="62"/>
        <v>0</v>
      </c>
      <c r="L330" s="159">
        <f t="shared" si="62"/>
        <v>0</v>
      </c>
      <c r="M330" s="69">
        <f t="shared" si="60"/>
        <v>0</v>
      </c>
    </row>
    <row r="331" spans="1:13" ht="12.75" hidden="1" customHeight="1" outlineLevel="3" x14ac:dyDescent="0.2">
      <c r="A331" s="144" t="str">
        <f>"      "&amp;Labels!B171</f>
        <v xml:space="preserve">      Invest 2</v>
      </c>
      <c r="B331" s="159">
        <f>SUM(B323,B327)</f>
        <v>0</v>
      </c>
      <c r="C331" s="69">
        <f>SUM(B323,B327)</f>
        <v>0</v>
      </c>
      <c r="D331" s="159">
        <f t="shared" si="61"/>
        <v>0</v>
      </c>
      <c r="E331" s="159">
        <f t="shared" si="61"/>
        <v>0</v>
      </c>
      <c r="F331" s="159">
        <f t="shared" si="61"/>
        <v>0</v>
      </c>
      <c r="G331" s="159">
        <f t="shared" si="61"/>
        <v>0</v>
      </c>
      <c r="H331" s="69">
        <f t="shared" si="59"/>
        <v>0</v>
      </c>
      <c r="I331" s="159">
        <f t="shared" si="62"/>
        <v>0</v>
      </c>
      <c r="J331" s="159">
        <f t="shared" si="62"/>
        <v>0</v>
      </c>
      <c r="K331" s="159">
        <f t="shared" si="62"/>
        <v>0</v>
      </c>
      <c r="L331" s="159">
        <f t="shared" si="62"/>
        <v>0</v>
      </c>
      <c r="M331" s="69">
        <f t="shared" si="60"/>
        <v>0</v>
      </c>
    </row>
    <row r="332" spans="1:13" ht="12.75" hidden="1" customHeight="1" outlineLevel="3" x14ac:dyDescent="0.2">
      <c r="A332" s="145" t="str">
        <f>"      "&amp;Labels!C169</f>
        <v xml:space="preserve">      Total</v>
      </c>
      <c r="B332" s="123">
        <f>SUM(B324,B328)</f>
        <v>0</v>
      </c>
      <c r="C332" s="70">
        <f>SUM(B324,B328)</f>
        <v>0</v>
      </c>
      <c r="D332" s="123">
        <f t="shared" si="61"/>
        <v>0</v>
      </c>
      <c r="E332" s="123">
        <f t="shared" si="61"/>
        <v>0</v>
      </c>
      <c r="F332" s="123">
        <f t="shared" si="61"/>
        <v>0</v>
      </c>
      <c r="G332" s="123">
        <f t="shared" si="61"/>
        <v>0</v>
      </c>
      <c r="H332" s="70">
        <f>SUM(D329:G329)</f>
        <v>0</v>
      </c>
      <c r="I332" s="123">
        <f t="shared" si="62"/>
        <v>0</v>
      </c>
      <c r="J332" s="123">
        <f t="shared" si="62"/>
        <v>0</v>
      </c>
      <c r="K332" s="123">
        <f t="shared" si="62"/>
        <v>0</v>
      </c>
      <c r="L332" s="123">
        <f t="shared" si="62"/>
        <v>0</v>
      </c>
      <c r="M332" s="70">
        <f>SUM(I329:L329)</f>
        <v>0</v>
      </c>
    </row>
    <row r="333" spans="1:13" ht="12.75" hidden="1" customHeight="1" outlineLevel="3" collapsed="1" x14ac:dyDescent="0.2"/>
    <row r="334" spans="1:13" ht="12.75" hidden="1" customHeight="1" outlineLevel="2" collapsed="1" x14ac:dyDescent="0.2">
      <c r="A334" s="3" t="str">
        <f>"Leases"</f>
        <v>Leases</v>
      </c>
    </row>
    <row r="335" spans="1:13" ht="12.75" hidden="1" customHeight="1" outlineLevel="3" x14ac:dyDescent="0.2">
      <c r="A335" s="3" t="str">
        <f>""</f>
        <v/>
      </c>
    </row>
    <row r="336" spans="1:13" ht="12.75" hidden="1" customHeight="1" outlineLevel="3" x14ac:dyDescent="0.2">
      <c r="B336" s="17" t="str">
        <f>'(FnCalls 1)'!G6</f>
        <v>Q4 2010</v>
      </c>
      <c r="C336" s="62" t="str">
        <f>'(FnCalls 1)'!H4</f>
        <v>2010</v>
      </c>
      <c r="D336" s="18" t="str">
        <f>'(FnCalls 1)'!G7</f>
        <v>Q1 2011</v>
      </c>
      <c r="E336" s="18" t="str">
        <f>'(FnCalls 1)'!G8</f>
        <v>Q2 2011</v>
      </c>
      <c r="F336" s="18" t="str">
        <f>'(FnCalls 1)'!G9</f>
        <v>Q3 2011</v>
      </c>
      <c r="G336" s="18" t="str">
        <f>'(FnCalls 1)'!G10</f>
        <v>Q4 2011</v>
      </c>
      <c r="H336" s="62" t="str">
        <f>'(FnCalls 1)'!H7</f>
        <v>2011</v>
      </c>
      <c r="I336" s="18" t="str">
        <f>'(FnCalls 1)'!G11</f>
        <v>Q1 2012</v>
      </c>
      <c r="J336" s="18" t="str">
        <f>'(FnCalls 1)'!G12</f>
        <v>Q2 2012</v>
      </c>
      <c r="K336" s="18" t="str">
        <f>'(FnCalls 1)'!G13</f>
        <v>Q3 2012</v>
      </c>
      <c r="L336" s="18" t="str">
        <f>'(FnCalls 1)'!G14</f>
        <v>Q4 2012</v>
      </c>
      <c r="M336" s="62" t="str">
        <f>'(FnCalls 1)'!H11</f>
        <v>2012</v>
      </c>
    </row>
    <row r="337" spans="1:13" ht="12.75" hidden="1" customHeight="1" outlineLevel="3" x14ac:dyDescent="0.2">
      <c r="A337" s="111" t="str">
        <f>Labels!B87</f>
        <v>Lease Payments</v>
      </c>
      <c r="B337" s="110"/>
      <c r="C337" s="75"/>
      <c r="D337" s="110"/>
      <c r="E337" s="110"/>
      <c r="F337" s="110"/>
      <c r="G337" s="110"/>
      <c r="H337" s="75"/>
      <c r="I337" s="110"/>
      <c r="J337" s="110"/>
      <c r="K337" s="110"/>
      <c r="L337" s="110"/>
      <c r="M337" s="75"/>
    </row>
    <row r="338" spans="1:13" ht="12.75" hidden="1" customHeight="1" outlineLevel="3" x14ac:dyDescent="0.2">
      <c r="A338" s="114" t="str">
        <f>"   "&amp;Labels!B182</f>
        <v xml:space="preserve">   Catamarans</v>
      </c>
      <c r="B338" s="113"/>
      <c r="C338" s="69"/>
      <c r="D338" s="113"/>
      <c r="E338" s="113"/>
      <c r="F338" s="113"/>
      <c r="G338" s="113"/>
      <c r="H338" s="69"/>
      <c r="I338" s="113"/>
      <c r="J338" s="113"/>
      <c r="K338" s="113"/>
      <c r="L338" s="113"/>
      <c r="M338" s="69"/>
    </row>
    <row r="339" spans="1:13" ht="12.75" hidden="1" customHeight="1" outlineLevel="3" x14ac:dyDescent="0.2">
      <c r="A339" s="144" t="str">
        <f>"      "&amp;Labels!B170</f>
        <v xml:space="preserve">      Invest 1</v>
      </c>
      <c r="B339" s="159">
        <f>IF('(Tables)'!B171=0,0,(-PMT('(Tables)'!B203,Inputs!I17*4,B279*Investment!D36)))+IF('(Tables)'!B171='(Tables)'!B184,B279*Inputs!E182,0)</f>
        <v>0</v>
      </c>
      <c r="C339" s="69">
        <f>B339</f>
        <v>0</v>
      </c>
      <c r="D339" s="159">
        <f>IF('(Tables)'!D171=0,0,(-PMT('(Tables)'!D203,Inputs!I17*4,B279*Investment!D36)))+IF('(Tables)'!D171='(Tables)'!B184,B279*Inputs!E182,0)</f>
        <v>0</v>
      </c>
      <c r="E339" s="159">
        <f>IF('(Tables)'!E171=0,0,(-PMT('(Tables)'!E203,Inputs!I17*4,B279*Investment!D36)))+IF('(Tables)'!E171='(Tables)'!B184,B279*Inputs!E182,0)</f>
        <v>0</v>
      </c>
      <c r="F339" s="159">
        <f>IF('(Tables)'!F171=0,0,(-PMT('(Tables)'!F203,Inputs!I17*4,B279*Investment!D36)))+IF('(Tables)'!F171='(Tables)'!B184,B279*Inputs!E182,0)</f>
        <v>0</v>
      </c>
      <c r="G339" s="159">
        <f>IF('(Tables)'!G171=0,0,(-PMT('(Tables)'!G203,Inputs!I17*4,B279*Investment!D36)))+IF('(Tables)'!G171='(Tables)'!B184,B279*Inputs!E182,0)</f>
        <v>0</v>
      </c>
      <c r="H339" s="69">
        <f>SUM(D339:G339)</f>
        <v>0</v>
      </c>
      <c r="I339" s="159">
        <f>IF('(Tables)'!I171=0,0,(-PMT('(Tables)'!I203,Inputs!I17*4,B279*Investment!D36)))+IF('(Tables)'!I171='(Tables)'!B184,B279*Inputs!E182,0)</f>
        <v>0</v>
      </c>
      <c r="J339" s="159">
        <f>IF('(Tables)'!J171=0,0,(-PMT('(Tables)'!J203,Inputs!I17*4,B279*Investment!D36)))+IF('(Tables)'!J171='(Tables)'!B184,B279*Inputs!E182,0)</f>
        <v>0</v>
      </c>
      <c r="K339" s="159">
        <f>IF('(Tables)'!K171=0,0,(-PMT('(Tables)'!K203,Inputs!I17*4,B279*Investment!D36)))+IF('(Tables)'!K171='(Tables)'!B184,B279*Inputs!E182,0)</f>
        <v>0</v>
      </c>
      <c r="L339" s="159">
        <f>IF('(Tables)'!L171=0,0,(-PMT('(Tables)'!L203,Inputs!I17*4,B279*Investment!D36)))+IF('(Tables)'!L171='(Tables)'!B184,B279*Inputs!E182,0)</f>
        <v>0</v>
      </c>
      <c r="M339" s="69">
        <f>SUM(I339:L339)</f>
        <v>0</v>
      </c>
    </row>
    <row r="340" spans="1:13" ht="12.75" hidden="1" customHeight="1" outlineLevel="3" x14ac:dyDescent="0.2">
      <c r="A340" s="144" t="str">
        <f>"      "&amp;Labels!B171</f>
        <v xml:space="preserve">      Invest 2</v>
      </c>
      <c r="B340" s="159">
        <f>IF('(Tables)'!B172=0,0,(-PMT('(Tables)'!B204,Inputs!I18*4,C279*Investment!D37)))+IF('(Tables)'!B172='(Tables)'!B185,C279*Inputs!E183,0)</f>
        <v>0</v>
      </c>
      <c r="C340" s="69">
        <f>B340</f>
        <v>0</v>
      </c>
      <c r="D340" s="159">
        <f>IF('(Tables)'!D172=0,0,(-PMT('(Tables)'!D204,Inputs!I18*4,C279*Investment!D37)))+IF('(Tables)'!D172='(Tables)'!B185,C279*Inputs!E183,0)</f>
        <v>0</v>
      </c>
      <c r="E340" s="159">
        <f>IF('(Tables)'!E172=0,0,(-PMT('(Tables)'!E204,Inputs!I18*4,C279*Investment!D37)))+IF('(Tables)'!E172='(Tables)'!B185,C279*Inputs!E183,0)</f>
        <v>0</v>
      </c>
      <c r="F340" s="159">
        <f>IF('(Tables)'!F172=0,0,(-PMT('(Tables)'!F204,Inputs!I18*4,C279*Investment!D37)))+IF('(Tables)'!F172='(Tables)'!B185,C279*Inputs!E183,0)</f>
        <v>0</v>
      </c>
      <c r="G340" s="159">
        <f>IF('(Tables)'!G172=0,0,(-PMT('(Tables)'!G204,Inputs!I18*4,C279*Investment!D37)))+IF('(Tables)'!G172='(Tables)'!B185,C279*Inputs!E183,0)</f>
        <v>0</v>
      </c>
      <c r="H340" s="69">
        <f>SUM(D340:G340)</f>
        <v>0</v>
      </c>
      <c r="I340" s="159">
        <f>IF('(Tables)'!I172=0,0,(-PMT('(Tables)'!I204,Inputs!I18*4,C279*Investment!D37)))+IF('(Tables)'!I172='(Tables)'!B185,C279*Inputs!E183,0)</f>
        <v>0</v>
      </c>
      <c r="J340" s="159">
        <f>IF('(Tables)'!J172=0,0,(-PMT('(Tables)'!J204,Inputs!I18*4,C279*Investment!D37)))+IF('(Tables)'!J172='(Tables)'!B185,C279*Inputs!E183,0)</f>
        <v>0</v>
      </c>
      <c r="K340" s="159">
        <f>IF('(Tables)'!K172=0,0,(-PMT('(Tables)'!K204,Inputs!I18*4,C279*Investment!D37)))+IF('(Tables)'!K172='(Tables)'!B185,C279*Inputs!E183,0)</f>
        <v>0</v>
      </c>
      <c r="L340" s="159">
        <f>IF('(Tables)'!L172=0,0,(-PMT('(Tables)'!L204,Inputs!I18*4,C279*Investment!D37)))+IF('(Tables)'!L172='(Tables)'!B185,C279*Inputs!E183,0)</f>
        <v>0</v>
      </c>
      <c r="M340" s="69">
        <f>SUM(I340:L340)</f>
        <v>0</v>
      </c>
    </row>
    <row r="341" spans="1:13" ht="12.75" hidden="1" customHeight="1" outlineLevel="3" x14ac:dyDescent="0.2">
      <c r="A341" s="114" t="str">
        <f>"      "&amp;Labels!C169</f>
        <v xml:space="preserve">      Total</v>
      </c>
      <c r="B341" s="113">
        <f>SUM(B339:B340)</f>
        <v>0</v>
      </c>
      <c r="C341" s="69">
        <f>SUM(B339:B340)</f>
        <v>0</v>
      </c>
      <c r="D341" s="113">
        <f>SUM(D339:D340)</f>
        <v>0</v>
      </c>
      <c r="E341" s="113">
        <f>SUM(E339:E340)</f>
        <v>0</v>
      </c>
      <c r="F341" s="113">
        <f>SUM(F339:F340)</f>
        <v>0</v>
      </c>
      <c r="G341" s="113">
        <f>SUM(G339:G340)</f>
        <v>0</v>
      </c>
      <c r="H341" s="69">
        <f>SUM(D341:G341)</f>
        <v>0</v>
      </c>
      <c r="I341" s="113">
        <f>SUM(I339:I340)</f>
        <v>0</v>
      </c>
      <c r="J341" s="113">
        <f>SUM(J339:J340)</f>
        <v>0</v>
      </c>
      <c r="K341" s="113">
        <f>SUM(K339:K340)</f>
        <v>0</v>
      </c>
      <c r="L341" s="113">
        <f>SUM(L339:L340)</f>
        <v>0</v>
      </c>
      <c r="M341" s="69">
        <f>SUM(I341:L341)</f>
        <v>0</v>
      </c>
    </row>
    <row r="342" spans="1:13" ht="12.75" hidden="1" customHeight="1" outlineLevel="3" x14ac:dyDescent="0.2">
      <c r="A342" s="114" t="str">
        <f>"   "&amp;Labels!B183</f>
        <v xml:space="preserve">   Canoes</v>
      </c>
      <c r="B342" s="113"/>
      <c r="C342" s="69"/>
      <c r="D342" s="113"/>
      <c r="E342" s="113"/>
      <c r="F342" s="113"/>
      <c r="G342" s="113"/>
      <c r="H342" s="69"/>
      <c r="I342" s="113"/>
      <c r="J342" s="113"/>
      <c r="K342" s="113"/>
      <c r="L342" s="113"/>
      <c r="M342" s="69"/>
    </row>
    <row r="343" spans="1:13" ht="12.75" hidden="1" customHeight="1" outlineLevel="3" x14ac:dyDescent="0.2">
      <c r="A343" s="144" t="str">
        <f>"      "&amp;Labels!B170</f>
        <v xml:space="preserve">      Invest 1</v>
      </c>
      <c r="B343" s="159">
        <f>IF('(Tables)'!B175=0,0,(-PMT('(Tables)'!B203,Inputs!I19*4,E279*Investment!D40)))+IF('(Tables)'!B175='(Tables)'!C184,E279*Inputs!F182,0)</f>
        <v>0</v>
      </c>
      <c r="C343" s="69">
        <f>B343</f>
        <v>0</v>
      </c>
      <c r="D343" s="159">
        <f>IF('(Tables)'!D175=0,0,(-PMT('(Tables)'!D203,Inputs!I19*4,E279*Investment!D40)))+IF('(Tables)'!D175='(Tables)'!C184,E279*Inputs!F182,0)</f>
        <v>0</v>
      </c>
      <c r="E343" s="159">
        <f>IF('(Tables)'!E175=0,0,(-PMT('(Tables)'!E203,Inputs!I19*4,E279*Investment!D40)))+IF('(Tables)'!E175='(Tables)'!C184,E279*Inputs!F182,0)</f>
        <v>0</v>
      </c>
      <c r="F343" s="159">
        <f>IF('(Tables)'!F175=0,0,(-PMT('(Tables)'!F203,Inputs!I19*4,E279*Investment!D40)))+IF('(Tables)'!F175='(Tables)'!C184,E279*Inputs!F182,0)</f>
        <v>0</v>
      </c>
      <c r="G343" s="159">
        <f>IF('(Tables)'!G175=0,0,(-PMT('(Tables)'!G203,Inputs!I19*4,E279*Investment!D40)))+IF('(Tables)'!G175='(Tables)'!C184,E279*Inputs!F182,0)</f>
        <v>0</v>
      </c>
      <c r="H343" s="69">
        <f t="shared" ref="H343:H348" si="63">SUM(D343:G343)</f>
        <v>0</v>
      </c>
      <c r="I343" s="159">
        <f>IF('(Tables)'!I175=0,0,(-PMT('(Tables)'!I203,Inputs!I19*4,E279*Investment!D40)))+IF('(Tables)'!I175='(Tables)'!C184,E279*Inputs!F182,0)</f>
        <v>0</v>
      </c>
      <c r="J343" s="159">
        <f>IF('(Tables)'!J175=0,0,(-PMT('(Tables)'!J203,Inputs!I19*4,E279*Investment!D40)))+IF('(Tables)'!J175='(Tables)'!C184,E279*Inputs!F182,0)</f>
        <v>0</v>
      </c>
      <c r="K343" s="159">
        <f>IF('(Tables)'!K175=0,0,(-PMT('(Tables)'!K203,Inputs!I19*4,E279*Investment!D40)))+IF('(Tables)'!K175='(Tables)'!C184,E279*Inputs!F182,0)</f>
        <v>0</v>
      </c>
      <c r="L343" s="159">
        <f>IF('(Tables)'!L175=0,0,(-PMT('(Tables)'!L203,Inputs!I19*4,E279*Investment!D40)))+IF('(Tables)'!L175='(Tables)'!C184,E279*Inputs!F182,0)</f>
        <v>0</v>
      </c>
      <c r="M343" s="69">
        <f t="shared" ref="M343:M348" si="64">SUM(I343:L343)</f>
        <v>0</v>
      </c>
    </row>
    <row r="344" spans="1:13" ht="12.75" hidden="1" customHeight="1" outlineLevel="3" x14ac:dyDescent="0.2">
      <c r="A344" s="144" t="str">
        <f>"      "&amp;Labels!B171</f>
        <v xml:space="preserve">      Invest 2</v>
      </c>
      <c r="B344" s="159">
        <f>IF('(Tables)'!B176=0,0,(-PMT('(Tables)'!B204,Inputs!I20*4,F279*Investment!D41)))+IF('(Tables)'!B176='(Tables)'!C185,F279*Inputs!F183,0)</f>
        <v>0</v>
      </c>
      <c r="C344" s="69">
        <f>B344</f>
        <v>0</v>
      </c>
      <c r="D344" s="159">
        <f>IF('(Tables)'!D176=0,0,(-PMT('(Tables)'!D204,Inputs!I20*4,F279*Investment!D41)))+IF('(Tables)'!D176='(Tables)'!C185,F279*Inputs!F183,0)</f>
        <v>0</v>
      </c>
      <c r="E344" s="159">
        <f>IF('(Tables)'!E176=0,0,(-PMT('(Tables)'!E204,Inputs!I20*4,F279*Investment!D41)))+IF('(Tables)'!E176='(Tables)'!C185,F279*Inputs!F183,0)</f>
        <v>0</v>
      </c>
      <c r="F344" s="159">
        <f>IF('(Tables)'!F176=0,0,(-PMT('(Tables)'!F204,Inputs!I20*4,F279*Investment!D41)))+IF('(Tables)'!F176='(Tables)'!C185,F279*Inputs!F183,0)</f>
        <v>0</v>
      </c>
      <c r="G344" s="159">
        <f>IF('(Tables)'!G176=0,0,(-PMT('(Tables)'!G204,Inputs!I20*4,F279*Investment!D41)))+IF('(Tables)'!G176='(Tables)'!C185,F279*Inputs!F183,0)</f>
        <v>0</v>
      </c>
      <c r="H344" s="69">
        <f t="shared" si="63"/>
        <v>0</v>
      </c>
      <c r="I344" s="159">
        <f>IF('(Tables)'!I176=0,0,(-PMT('(Tables)'!I204,Inputs!I20*4,F279*Investment!D41)))+IF('(Tables)'!I176='(Tables)'!C185,F279*Inputs!F183,0)</f>
        <v>0</v>
      </c>
      <c r="J344" s="159">
        <f>IF('(Tables)'!J176=0,0,(-PMT('(Tables)'!J204,Inputs!I20*4,F279*Investment!D41)))+IF('(Tables)'!J176='(Tables)'!C185,F279*Inputs!F183,0)</f>
        <v>0</v>
      </c>
      <c r="K344" s="159">
        <f>IF('(Tables)'!K176=0,0,(-PMT('(Tables)'!K204,Inputs!I20*4,F279*Investment!D41)))+IF('(Tables)'!K176='(Tables)'!C185,F279*Inputs!F183,0)</f>
        <v>0</v>
      </c>
      <c r="L344" s="159">
        <f>IF('(Tables)'!L176=0,0,(-PMT('(Tables)'!L204,Inputs!I20*4,F279*Investment!D41)))+IF('(Tables)'!L176='(Tables)'!C185,F279*Inputs!F183,0)</f>
        <v>0</v>
      </c>
      <c r="M344" s="69">
        <f t="shared" si="64"/>
        <v>0</v>
      </c>
    </row>
    <row r="345" spans="1:13" ht="12.75" hidden="1" customHeight="1" outlineLevel="3" x14ac:dyDescent="0.2">
      <c r="A345" s="114" t="str">
        <f>"      "&amp;Labels!C169</f>
        <v xml:space="preserve">      Total</v>
      </c>
      <c r="B345" s="113">
        <f>SUM(B343:B344)</f>
        <v>0</v>
      </c>
      <c r="C345" s="69">
        <f>SUM(B343:B344)</f>
        <v>0</v>
      </c>
      <c r="D345" s="113">
        <f>SUM(D343:D344)</f>
        <v>0</v>
      </c>
      <c r="E345" s="113">
        <f>SUM(E343:E344)</f>
        <v>0</v>
      </c>
      <c r="F345" s="113">
        <f>SUM(F343:F344)</f>
        <v>0</v>
      </c>
      <c r="G345" s="113">
        <f>SUM(G343:G344)</f>
        <v>0</v>
      </c>
      <c r="H345" s="69">
        <f t="shared" si="63"/>
        <v>0</v>
      </c>
      <c r="I345" s="113">
        <f>SUM(I343:I344)</f>
        <v>0</v>
      </c>
      <c r="J345" s="113">
        <f>SUM(J343:J344)</f>
        <v>0</v>
      </c>
      <c r="K345" s="113">
        <f>SUM(K343:K344)</f>
        <v>0</v>
      </c>
      <c r="L345" s="113">
        <f>SUM(L343:L344)</f>
        <v>0</v>
      </c>
      <c r="M345" s="69">
        <f t="shared" si="64"/>
        <v>0</v>
      </c>
    </row>
    <row r="346" spans="1:13" ht="12.75" hidden="1" customHeight="1" outlineLevel="3" x14ac:dyDescent="0.2">
      <c r="A346" s="117" t="str">
        <f>"   "&amp;Labels!C181</f>
        <v xml:space="preserve">   Total</v>
      </c>
      <c r="B346" s="120">
        <f>SUM(B341,B345)</f>
        <v>0</v>
      </c>
      <c r="C346" s="69">
        <f>SUM(B341,B345)</f>
        <v>0</v>
      </c>
      <c r="D346" s="120">
        <f>SUM(D341,D345)</f>
        <v>0</v>
      </c>
      <c r="E346" s="120">
        <f>SUM(E341,E345)</f>
        <v>0</v>
      </c>
      <c r="F346" s="120">
        <f>SUM(F341,F345)</f>
        <v>0</v>
      </c>
      <c r="G346" s="120">
        <f>SUM(G341,G345)</f>
        <v>0</v>
      </c>
      <c r="H346" s="69">
        <f t="shared" si="63"/>
        <v>0</v>
      </c>
      <c r="I346" s="120">
        <f>SUM(I341,I345)</f>
        <v>0</v>
      </c>
      <c r="J346" s="120">
        <f>SUM(J341,J345)</f>
        <v>0</v>
      </c>
      <c r="K346" s="120">
        <f>SUM(K341,K345)</f>
        <v>0</v>
      </c>
      <c r="L346" s="120">
        <f>SUM(L341,L345)</f>
        <v>0</v>
      </c>
      <c r="M346" s="69">
        <f t="shared" si="64"/>
        <v>0</v>
      </c>
    </row>
    <row r="347" spans="1:13" ht="12.75" hidden="1" customHeight="1" outlineLevel="3" x14ac:dyDescent="0.2">
      <c r="A347" s="144" t="str">
        <f>"      "&amp;Labels!B170</f>
        <v xml:space="preserve">      Invest 1</v>
      </c>
      <c r="B347" s="159">
        <f>SUM(B339,B343)</f>
        <v>0</v>
      </c>
      <c r="C347" s="69">
        <f>SUM(B339,B343)</f>
        <v>0</v>
      </c>
      <c r="D347" s="159">
        <f t="shared" ref="D347:G349" si="65">SUM(D339,D343)</f>
        <v>0</v>
      </c>
      <c r="E347" s="159">
        <f t="shared" si="65"/>
        <v>0</v>
      </c>
      <c r="F347" s="159">
        <f t="shared" si="65"/>
        <v>0</v>
      </c>
      <c r="G347" s="159">
        <f t="shared" si="65"/>
        <v>0</v>
      </c>
      <c r="H347" s="69">
        <f t="shared" si="63"/>
        <v>0</v>
      </c>
      <c r="I347" s="159">
        <f t="shared" ref="I347:L349" si="66">SUM(I339,I343)</f>
        <v>0</v>
      </c>
      <c r="J347" s="159">
        <f t="shared" si="66"/>
        <v>0</v>
      </c>
      <c r="K347" s="159">
        <f t="shared" si="66"/>
        <v>0</v>
      </c>
      <c r="L347" s="159">
        <f t="shared" si="66"/>
        <v>0</v>
      </c>
      <c r="M347" s="69">
        <f t="shared" si="64"/>
        <v>0</v>
      </c>
    </row>
    <row r="348" spans="1:13" ht="12.75" hidden="1" customHeight="1" outlineLevel="3" x14ac:dyDescent="0.2">
      <c r="A348" s="144" t="str">
        <f>"      "&amp;Labels!B171</f>
        <v xml:space="preserve">      Invest 2</v>
      </c>
      <c r="B348" s="159">
        <f>SUM(B340,B344)</f>
        <v>0</v>
      </c>
      <c r="C348" s="69">
        <f>SUM(B340,B344)</f>
        <v>0</v>
      </c>
      <c r="D348" s="159">
        <f t="shared" si="65"/>
        <v>0</v>
      </c>
      <c r="E348" s="159">
        <f t="shared" si="65"/>
        <v>0</v>
      </c>
      <c r="F348" s="159">
        <f t="shared" si="65"/>
        <v>0</v>
      </c>
      <c r="G348" s="159">
        <f t="shared" si="65"/>
        <v>0</v>
      </c>
      <c r="H348" s="69">
        <f t="shared" si="63"/>
        <v>0</v>
      </c>
      <c r="I348" s="159">
        <f t="shared" si="66"/>
        <v>0</v>
      </c>
      <c r="J348" s="159">
        <f t="shared" si="66"/>
        <v>0</v>
      </c>
      <c r="K348" s="159">
        <f t="shared" si="66"/>
        <v>0</v>
      </c>
      <c r="L348" s="159">
        <f t="shared" si="66"/>
        <v>0</v>
      </c>
      <c r="M348" s="69">
        <f t="shared" si="64"/>
        <v>0</v>
      </c>
    </row>
    <row r="349" spans="1:13" ht="12.75" hidden="1" customHeight="1" outlineLevel="3" x14ac:dyDescent="0.2">
      <c r="A349" s="145" t="str">
        <f>"      "&amp;Labels!C169</f>
        <v xml:space="preserve">      Total</v>
      </c>
      <c r="B349" s="123">
        <f>SUM(B341,B345)</f>
        <v>0</v>
      </c>
      <c r="C349" s="70">
        <f>SUM(B341,B345)</f>
        <v>0</v>
      </c>
      <c r="D349" s="123">
        <f t="shared" si="65"/>
        <v>0</v>
      </c>
      <c r="E349" s="123">
        <f t="shared" si="65"/>
        <v>0</v>
      </c>
      <c r="F349" s="123">
        <f t="shared" si="65"/>
        <v>0</v>
      </c>
      <c r="G349" s="123">
        <f t="shared" si="65"/>
        <v>0</v>
      </c>
      <c r="H349" s="70">
        <f>SUM(D346:G346)</f>
        <v>0</v>
      </c>
      <c r="I349" s="123">
        <f t="shared" si="66"/>
        <v>0</v>
      </c>
      <c r="J349" s="123">
        <f t="shared" si="66"/>
        <v>0</v>
      </c>
      <c r="K349" s="123">
        <f t="shared" si="66"/>
        <v>0</v>
      </c>
      <c r="L349" s="123">
        <f t="shared" si="66"/>
        <v>0</v>
      </c>
      <c r="M349" s="70">
        <f>SUM(I346:L346)</f>
        <v>0</v>
      </c>
    </row>
    <row r="350" spans="1:13" ht="12.75" hidden="1" customHeight="1" outlineLevel="3" collapsed="1" x14ac:dyDescent="0.2"/>
    <row r="351" spans="1:13" ht="12.75" hidden="1" customHeight="1" outlineLevel="2" collapsed="1" x14ac:dyDescent="0.2">
      <c r="A351" t="s">
        <v>841</v>
      </c>
      <c r="B351" t="s">
        <v>841</v>
      </c>
      <c r="C351" t="s">
        <v>841</v>
      </c>
      <c r="D351" t="s">
        <v>841</v>
      </c>
      <c r="E351" t="s">
        <v>841</v>
      </c>
      <c r="F351" t="s">
        <v>841</v>
      </c>
      <c r="G351" t="s">
        <v>841</v>
      </c>
      <c r="H351" t="s">
        <v>841</v>
      </c>
      <c r="I351" t="s">
        <v>841</v>
      </c>
      <c r="J351" t="s">
        <v>841</v>
      </c>
      <c r="K351" t="s">
        <v>841</v>
      </c>
      <c r="L351" t="s">
        <v>841</v>
      </c>
      <c r="M351" t="s">
        <v>841</v>
      </c>
    </row>
    <row r="352" spans="1:13" ht="12.75" hidden="1" customHeight="1" outlineLevel="1" collapsed="1" x14ac:dyDescent="0.2"/>
    <row r="353" ht="12.75" customHeight="1" collapsed="1" x14ac:dyDescent="0.2"/>
  </sheetData>
  <mergeCells count="19">
    <mergeCell ref="A271:D271"/>
    <mergeCell ref="A161:B161"/>
    <mergeCell ref="A234:C234"/>
    <mergeCell ref="A235:C235"/>
    <mergeCell ref="A244:C244"/>
    <mergeCell ref="A245:C245"/>
    <mergeCell ref="A270:D270"/>
    <mergeCell ref="A160:B160"/>
    <mergeCell ref="A1:D1"/>
    <mergeCell ref="A2:D2"/>
    <mergeCell ref="A3:D3"/>
    <mergeCell ref="A4:D4"/>
    <mergeCell ref="A48:B48"/>
    <mergeCell ref="A65:B65"/>
    <mergeCell ref="A66:B66"/>
    <mergeCell ref="A110:B110"/>
    <mergeCell ref="A111:B111"/>
    <mergeCell ref="A123:B123"/>
    <mergeCell ref="A124:B124"/>
  </mergeCells>
  <pageMargins left="0.25" right="0.25" top="0.5" bottom="0.5" header="0.5" footer="0.5"/>
  <pageSetup paperSize="9" fitToHeight="32767" orientation="landscape" horizontalDpi="300" verticalDpi="30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F00D54A-4899-4AB8-9326-5BC0C251F6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230</vt:i4>
      </vt:variant>
    </vt:vector>
  </HeadingPairs>
  <TitlesOfParts>
    <vt:vector size="249" baseType="lpstr">
      <vt:lpstr>Intro</vt:lpstr>
      <vt:lpstr>Graphs</vt:lpstr>
      <vt:lpstr>Inputs</vt:lpstr>
      <vt:lpstr>Investment</vt:lpstr>
      <vt:lpstr>Operations</vt:lpstr>
      <vt:lpstr>Equity Fin</vt:lpstr>
      <vt:lpstr>EqF Subproject 1</vt:lpstr>
      <vt:lpstr>EqF Subproject 2</vt:lpstr>
      <vt:lpstr>Blended Fin</vt:lpstr>
      <vt:lpstr>BF Subproject 1</vt:lpstr>
      <vt:lpstr>BF Subproject 2</vt:lpstr>
      <vt:lpstr>Formulas</vt:lpstr>
      <vt:lpstr>Plot Support</vt:lpstr>
      <vt:lpstr>(Compute)</vt:lpstr>
      <vt:lpstr>(FnCalls 1)</vt:lpstr>
      <vt:lpstr>(Tables)</vt:lpstr>
      <vt:lpstr>Labels</vt:lpstr>
      <vt:lpstr>(Ranges)</vt:lpstr>
      <vt:lpstr>(Import)</vt:lpstr>
      <vt:lpstr>Book_Value_End_Date</vt:lpstr>
      <vt:lpstr>Book_Value_End_plt_Date</vt:lpstr>
      <vt:lpstr>Book_Value_End_plt_Subprojects</vt:lpstr>
      <vt:lpstr>Book_Value_End_plt_Subprojects_Canoes</vt:lpstr>
      <vt:lpstr>Book_Value_End_plt_Subprojects_Catamarans</vt:lpstr>
      <vt:lpstr>Book_Value_End_plt_Time_Period</vt:lpstr>
      <vt:lpstr>Book_Value_End_Subprojects</vt:lpstr>
      <vt:lpstr>Book_Value_End_Subprojects_Canoes</vt:lpstr>
      <vt:lpstr>Book_Value_End_Subprojects_Catamarans</vt:lpstr>
      <vt:lpstr>Book_Value_End_Time_Period</vt:lpstr>
      <vt:lpstr>Book_Value_Fixed_End_Date</vt:lpstr>
      <vt:lpstr>Book_Value_Fixed_End_Subprojects</vt:lpstr>
      <vt:lpstr>Book_Value_Fixed_End_Subprojects_Canoes</vt:lpstr>
      <vt:lpstr>Book_Value_Fixed_End_Subprojects_Canoes_Invest_per_Subproject</vt:lpstr>
      <vt:lpstr>Book_Value_Fixed_End_Subprojects_Canoes_Invest_per_Subproject_Invest_1</vt:lpstr>
      <vt:lpstr>Book_Value_Fixed_End_Subprojects_Canoes_Invest_per_Subproject_Invest_2</vt:lpstr>
      <vt:lpstr>Book_Value_Fixed_End_Subprojects_Catamarans</vt:lpstr>
      <vt:lpstr>Book_Value_Fixed_End_Subprojects_Catamarans_Invest_per_Subproject</vt:lpstr>
      <vt:lpstr>Book_Value_Fixed_End_Subprojects_Catamarans_Invest_per_Subproject_Invest_1</vt:lpstr>
      <vt:lpstr>Book_Value_Fixed_End_Subprojects_Catamarans_Invest_per_Subproject_Invest_2</vt:lpstr>
      <vt:lpstr>Book_Value_Fixed_End_Time_Period</vt:lpstr>
      <vt:lpstr>Capital_Average_Date</vt:lpstr>
      <vt:lpstr>Capital_Average_Subprojects</vt:lpstr>
      <vt:lpstr>Capital_Average_Subprojects_Canoes</vt:lpstr>
      <vt:lpstr>Capital_Average_Subprojects_Catamarans</vt:lpstr>
      <vt:lpstr>Capital_Average_Time_Period</vt:lpstr>
      <vt:lpstr>Cash_Flow_plt_Date</vt:lpstr>
      <vt:lpstr>Cash_Flow_plt_Subprojects</vt:lpstr>
      <vt:lpstr>Cash_Flow_plt_Subprojects_Canoes</vt:lpstr>
      <vt:lpstr>Cash_Flow_plt_Subprojects_Catamarans</vt:lpstr>
      <vt:lpstr>Cash_Flow_plt_Time_Period</vt:lpstr>
      <vt:lpstr>Cash_Flow_Work_Cap_Date</vt:lpstr>
      <vt:lpstr>Cash_Flow_Work_Cap_Subprojects</vt:lpstr>
      <vt:lpstr>Cash_Flow_Work_Cap_Subprojects_Canoes</vt:lpstr>
      <vt:lpstr>Cash_Flow_Work_Cap_Subprojects_Canoes_Working_Cap_Accts</vt:lpstr>
      <vt:lpstr>Cash_Flow_Work_Cap_Subprojects_Canoes_Working_Cap_Accts_Receivables</vt:lpstr>
      <vt:lpstr>Cash_Flow_Work_Cap_Subprojects_Canoes_Working_Cap_Accts_Supplies_inventory</vt:lpstr>
      <vt:lpstr>Cash_Flow_Work_Cap_Subprojects_Catamarans</vt:lpstr>
      <vt:lpstr>Cash_Flow_Work_Cap_Subprojects_Catamarans_Working_Cap_Accts</vt:lpstr>
      <vt:lpstr>Cash_Flow_Work_Cap_Subprojects_Catamarans_Working_Cap_Accts_Receivables</vt:lpstr>
      <vt:lpstr>Cash_Flow_Work_Cap_Subprojects_Catamarans_Working_Cap_Accts_Supplies_inventory</vt:lpstr>
      <vt:lpstr>Cash_Flow_Work_Cap_Time_Period</vt:lpstr>
      <vt:lpstr>DCF_BlendedFin_CF_Blended</vt:lpstr>
      <vt:lpstr>DCF_BlendedFin_CF_Blended_Debt_Principal</vt:lpstr>
      <vt:lpstr>DCF_BlendedFin_CF_Blended_Debt_Principal_Subprojects</vt:lpstr>
      <vt:lpstr>DCF_BlendedFin_CF_Blended_Debt_Principal_Subprojects_Canoes</vt:lpstr>
      <vt:lpstr>DCF_BlendedFin_CF_Blended_Debt_Principal_Subprojects_Catamarans</vt:lpstr>
      <vt:lpstr>DCF_BlendedFin_CF_Blended_EBITDA</vt:lpstr>
      <vt:lpstr>DCF_BlendedFin_CF_Blended_EBITDA_Subprojects</vt:lpstr>
      <vt:lpstr>DCF_BlendedFin_CF_Blended_EBITDA_Subprojects_Canoes</vt:lpstr>
      <vt:lpstr>DCF_BlendedFin_CF_Blended_EBITDA_Subprojects_Catamarans</vt:lpstr>
      <vt:lpstr>DCF_BlendedFin_CF_Blended_Fixed_Invest</vt:lpstr>
      <vt:lpstr>DCF_BlendedFin_CF_Blended_Fixed_Invest_Subprojects</vt:lpstr>
      <vt:lpstr>DCF_BlendedFin_CF_Blended_Fixed_Invest_Subprojects_Canoes</vt:lpstr>
      <vt:lpstr>DCF_BlendedFin_CF_Blended_Fixed_Invest_Subprojects_Catamarans</vt:lpstr>
      <vt:lpstr>DCF_BlendedFin_CF_Blended_Income_Tax</vt:lpstr>
      <vt:lpstr>DCF_BlendedFin_CF_Blended_Income_Tax_Subprojects</vt:lpstr>
      <vt:lpstr>DCF_BlendedFin_CF_Blended_Income_Tax_Subprojects_Canoes</vt:lpstr>
      <vt:lpstr>DCF_BlendedFin_CF_Blended_Income_Tax_Subprojects_Catamarans</vt:lpstr>
      <vt:lpstr>DCF_BlendedFin_CF_Blended_Interest_Pay</vt:lpstr>
      <vt:lpstr>DCF_BlendedFin_CF_Blended_Interest_Pay_Subprojects</vt:lpstr>
      <vt:lpstr>DCF_BlendedFin_CF_Blended_Interest_Pay_Subprojects_Canoes</vt:lpstr>
      <vt:lpstr>DCF_BlendedFin_CF_Blended_Interest_Pay_Subprojects_Catamarans</vt:lpstr>
      <vt:lpstr>DCF_BlendedFin_CF_Blended_Inv_Tax_Credit</vt:lpstr>
      <vt:lpstr>DCF_BlendedFin_CF_Blended_Inv_Tax_Credit_Subprojects</vt:lpstr>
      <vt:lpstr>DCF_BlendedFin_CF_Blended_Inv_Tax_Credit_Subprojects_Canoes</vt:lpstr>
      <vt:lpstr>DCF_BlendedFin_CF_Blended_Inv_Tax_Credit_Subprojects_Catamarans</vt:lpstr>
      <vt:lpstr>DCF_BlendedFin_CF_Blended_Lease_Pay</vt:lpstr>
      <vt:lpstr>DCF_BlendedFin_CF_Blended_Lease_Pay_Subprojects</vt:lpstr>
      <vt:lpstr>DCF_BlendedFin_CF_Blended_Lease_Pay_Subprojects_Canoes</vt:lpstr>
      <vt:lpstr>DCF_BlendedFin_CF_Blended_Lease_Pay_Subprojects_Catamarans</vt:lpstr>
      <vt:lpstr>DCF_BlendedFin_CF_Blended_Working_Cap</vt:lpstr>
      <vt:lpstr>DCF_BlendedFin_CF_Blended_Working_Cap_Subprojects</vt:lpstr>
      <vt:lpstr>DCF_BlendedFin_CF_Blended_Working_Cap_Subprojects_Canoes</vt:lpstr>
      <vt:lpstr>DCF_BlendedFin_CF_Blended_Working_Cap_Subprojects_Catamarans</vt:lpstr>
      <vt:lpstr>DCF_BlendedFin_Date</vt:lpstr>
      <vt:lpstr>DCF_BlendedFin_Time_Period</vt:lpstr>
      <vt:lpstr>DCF_Cum_Date</vt:lpstr>
      <vt:lpstr>DCF_Cum_plt_Date</vt:lpstr>
      <vt:lpstr>DCF_Cum_plt_Subprojects</vt:lpstr>
      <vt:lpstr>DCF_Cum_plt_Subprojects_Canoes</vt:lpstr>
      <vt:lpstr>DCF_Cum_plt_Subprojects_Catamarans</vt:lpstr>
      <vt:lpstr>DCF_Cum_plt_Time_Period</vt:lpstr>
      <vt:lpstr>DCF_Cum_Subprojects</vt:lpstr>
      <vt:lpstr>DCF_Cum_Subprojects_Canoes</vt:lpstr>
      <vt:lpstr>DCF_Cum_Subprojects_Catamarans</vt:lpstr>
      <vt:lpstr>DCF_Cum_Time_Period</vt:lpstr>
      <vt:lpstr>DCF_plt_Date</vt:lpstr>
      <vt:lpstr>DCF_plt_Subprojects</vt:lpstr>
      <vt:lpstr>DCF_plt_Subprojects_Canoes</vt:lpstr>
      <vt:lpstr>DCF_plt_Subprojects_Catamarans</vt:lpstr>
      <vt:lpstr>DCF_plt_Time_Period</vt:lpstr>
      <vt:lpstr>EBIT_Date</vt:lpstr>
      <vt:lpstr>EBIT_Subprojects</vt:lpstr>
      <vt:lpstr>EBIT_Subprojects_Canoes</vt:lpstr>
      <vt:lpstr>EBIT_Subprojects_Catamarans</vt:lpstr>
      <vt:lpstr>EBIT_Time_Period</vt:lpstr>
      <vt:lpstr>EBITDA_Date</vt:lpstr>
      <vt:lpstr>EBITDA_plt_Date</vt:lpstr>
      <vt:lpstr>EBITDA_plt_Subprojects</vt:lpstr>
      <vt:lpstr>EBITDA_plt_Subprojects_Canoes</vt:lpstr>
      <vt:lpstr>EBITDA_plt_Subprojects_Catamarans</vt:lpstr>
      <vt:lpstr>EBITDA_plt_Time_Period</vt:lpstr>
      <vt:lpstr>EBITDA_Subprojects</vt:lpstr>
      <vt:lpstr>EBITDA_Subprojects_Canoes</vt:lpstr>
      <vt:lpstr>EBITDA_Subprojects_Catamarans</vt:lpstr>
      <vt:lpstr>EBITDA_Time_Period</vt:lpstr>
      <vt:lpstr>Expense_Oper_Fixed_Date</vt:lpstr>
      <vt:lpstr>Expense_Oper_Fixed_Subprojects</vt:lpstr>
      <vt:lpstr>Expense_Oper_Fixed_Subprojects_Canoes</vt:lpstr>
      <vt:lpstr>Expense_Oper_Fixed_Subprojects_Canoes_Fixed_Expense_Accts</vt:lpstr>
      <vt:lpstr>Expense_Oper_Fixed_Subprojects_Canoes_Fixed_Expense_Accts_Computers</vt:lpstr>
      <vt:lpstr>Expense_Oper_Fixed_Subprojects_Canoes_Fixed_Expense_Accts_Vehicles</vt:lpstr>
      <vt:lpstr>Expense_Oper_Fixed_Subprojects_Catamarans</vt:lpstr>
      <vt:lpstr>Expense_Oper_Fixed_Subprojects_Catamarans_Fixed_Expense_Accts</vt:lpstr>
      <vt:lpstr>Expense_Oper_Fixed_Subprojects_Catamarans_Fixed_Expense_Accts_Computers</vt:lpstr>
      <vt:lpstr>Expense_Oper_Fixed_Subprojects_Catamarans_Fixed_Expense_Accts_Vehicles</vt:lpstr>
      <vt:lpstr>Expense_Oper_Fixed_Time_Period</vt:lpstr>
      <vt:lpstr>Expense_Oper_Variable_Date</vt:lpstr>
      <vt:lpstr>Expense_Oper_Variable_Subprojects</vt:lpstr>
      <vt:lpstr>Expense_Oper_Variable_Subprojects_Canoes</vt:lpstr>
      <vt:lpstr>Expense_Oper_Variable_Subprojects_Canoes_Var_Expense_Accts</vt:lpstr>
      <vt:lpstr>Expense_Oper_Variable_Subprojects_Canoes_Var_Expense_Accts_Fuel</vt:lpstr>
      <vt:lpstr>Expense_Oper_Variable_Subprojects_Canoes_Var_Expense_Accts_Maintenance</vt:lpstr>
      <vt:lpstr>Expense_Oper_Variable_Subprojects_Catamarans</vt:lpstr>
      <vt:lpstr>Expense_Oper_Variable_Subprojects_Catamarans_Var_Expense_Accts</vt:lpstr>
      <vt:lpstr>Expense_Oper_Variable_Subprojects_Catamarans_Var_Expense_Accts_Fuel</vt:lpstr>
      <vt:lpstr>Expense_Oper_Variable_Subprojects_Catamarans_Var_Expense_Accts_Maintenance</vt:lpstr>
      <vt:lpstr>Expense_Oper_Variable_Time_Period</vt:lpstr>
      <vt:lpstr>Fin_Type_Wgts_FinTypes</vt:lpstr>
      <vt:lpstr>Fin_Type_Wgts_FinTypes_Debt</vt:lpstr>
      <vt:lpstr>Fin_Type_Wgts_FinTypes_Debt_Subprojects</vt:lpstr>
      <vt:lpstr>Fin_Type_Wgts_FinTypes_Debt_Subprojects_Canoes</vt:lpstr>
      <vt:lpstr>Fin_Type_Wgts_FinTypes_Debt_Subprojects_Canoes_Invest_per_Subproject</vt:lpstr>
      <vt:lpstr>Fin_Type_Wgts_FinTypes_Debt_Subprojects_Canoes_Invest_per_Subproject_Invest_1</vt:lpstr>
      <vt:lpstr>Fin_Type_Wgts_FinTypes_Debt_Subprojects_Canoes_Invest_per_Subproject_Invest_2</vt:lpstr>
      <vt:lpstr>Fin_Type_Wgts_FinTypes_Debt_Subprojects_Catamarans</vt:lpstr>
      <vt:lpstr>Fin_Type_Wgts_FinTypes_Debt_Subprojects_Catamarans_Invest_per_Subproject</vt:lpstr>
      <vt:lpstr>Fin_Type_Wgts_FinTypes_Debt_Subprojects_Catamarans_Invest_per_Subproject_Invest_1</vt:lpstr>
      <vt:lpstr>Fin_Type_Wgts_FinTypes_Debt_Subprojects_Catamarans_Invest_per_Subproject_Invest_2</vt:lpstr>
      <vt:lpstr>Fin_Type_Wgts_FinTypes_Equity</vt:lpstr>
      <vt:lpstr>Fin_Type_Wgts_FinTypes_Equity_Subprojects</vt:lpstr>
      <vt:lpstr>Fin_Type_Wgts_FinTypes_Equity_Subprojects_Canoes</vt:lpstr>
      <vt:lpstr>Fin_Type_Wgts_FinTypes_Equity_Subprojects_Canoes_Invest_per_Subproject</vt:lpstr>
      <vt:lpstr>Fin_Type_Wgts_FinTypes_Equity_Subprojects_Canoes_Invest_per_Subproject_Invest_1</vt:lpstr>
      <vt:lpstr>Fin_Type_Wgts_FinTypes_Equity_Subprojects_Canoes_Invest_per_Subproject_Invest_2</vt:lpstr>
      <vt:lpstr>Fin_Type_Wgts_FinTypes_Equity_Subprojects_Catamarans</vt:lpstr>
      <vt:lpstr>Fin_Type_Wgts_FinTypes_Equity_Subprojects_Catamarans_Invest_per_Subproject</vt:lpstr>
      <vt:lpstr>Fin_Type_Wgts_FinTypes_Equity_Subprojects_Catamarans_Invest_per_Subproject_Invest_1</vt:lpstr>
      <vt:lpstr>Fin_Type_Wgts_FinTypes_Equity_Subprojects_Catamarans_Invest_per_Subproject_Invest_2</vt:lpstr>
      <vt:lpstr>Fin_Type_Wgts_FinTypes_Lease</vt:lpstr>
      <vt:lpstr>Fin_Type_Wgts_FinTypes_Lease_Subprojects</vt:lpstr>
      <vt:lpstr>Fin_Type_Wgts_FinTypes_Lease_Subprojects_Canoes</vt:lpstr>
      <vt:lpstr>Fin_Type_Wgts_FinTypes_Lease_Subprojects_Canoes_Invest_per_Subproject</vt:lpstr>
      <vt:lpstr>Fin_Type_Wgts_FinTypes_Lease_Subprojects_Canoes_Invest_per_Subproject_Invest_1</vt:lpstr>
      <vt:lpstr>Fin_Type_Wgts_FinTypes_Lease_Subprojects_Canoes_Invest_per_Subproject_Invest_2</vt:lpstr>
      <vt:lpstr>Fin_Type_Wgts_FinTypes_Lease_Subprojects_Catamarans</vt:lpstr>
      <vt:lpstr>Fin_Type_Wgts_FinTypes_Lease_Subprojects_Catamarans_Invest_per_Subproject</vt:lpstr>
      <vt:lpstr>Fin_Type_Wgts_FinTypes_Lease_Subprojects_Catamarans_Invest_per_Subproject_Invest_1</vt:lpstr>
      <vt:lpstr>Fin_Type_Wgts_FinTypes_Lease_Subprojects_Catamarans_Invest_per_Subproject_Invest_2</vt:lpstr>
      <vt:lpstr>Fin_Type_Wgts_Sc_FinTypes_Debt_Scenarios_Fin_Scenario_1_Subprojects_Canoes_Invest_per_Subproject_Invest_1</vt:lpstr>
      <vt:lpstr>Fin_Type_Wgts_Sc_FinTypes_Debt_Scenarios_Fin_Scenario_1_Subprojects_Canoes_Invest_per_Subproject_Invest_2</vt:lpstr>
      <vt:lpstr>Fin_Type_Wgts_Sc_FinTypes_Debt_Scenarios_Fin_Scenario_1_Subprojects_Catamarans_Invest_per_Subproject_Invest_1</vt:lpstr>
      <vt:lpstr>Fin_Type_Wgts_Sc_FinTypes_Debt_Scenarios_Fin_Scenario_1_Subprojects_Catamarans_Invest_per_Subproject_Invest_2</vt:lpstr>
      <vt:lpstr>Fin_Type_Wgts_Sc_FinTypes_Debt_Scenarios_Fin_Scenario_2_Subprojects_Canoes_Invest_per_Subproject_Invest_1</vt:lpstr>
      <vt:lpstr>Fin_Type_Wgts_Sc_FinTypes_Debt_Scenarios_Fin_Scenario_2_Subprojects_Canoes_Invest_per_Subproject_Invest_2</vt:lpstr>
      <vt:lpstr>Fin_Type_Wgts_Sc_FinTypes_Debt_Scenarios_Fin_Scenario_2_Subprojects_Catamarans_Invest_per_Subproject_Invest_1</vt:lpstr>
      <vt:lpstr>Fin_Type_Wgts_Sc_FinTypes_Debt_Scenarios_Fin_Scenario_2_Subprojects_Catamarans_Invest_per_Subproject_Invest_2</vt:lpstr>
      <vt:lpstr>Fin_Type_Wgts_Sc_FinTypes_Debt_Scenarios_Fin_Scenario_3_Subprojects_Canoes_Invest_per_Subproject_Invest_1</vt:lpstr>
      <vt:lpstr>Fin_Type_Wgts_Sc_FinTypes_Debt_Scenarios_Fin_Scenario_3_Subprojects_Canoes_Invest_per_Subproject_Invest_2</vt:lpstr>
      <vt:lpstr>Fin_Type_Wgts_Sc_FinTypes_Debt_Scenarios_Fin_Scenario_3_Subprojects_Catamarans_Invest_per_Subproject_Invest_1</vt:lpstr>
      <vt:lpstr>Fin_Type_Wgts_Sc_FinTypes_Debt_Scenarios_Fin_Scenario_3_Subprojects_Catamarans_Invest_per_Subproject_Invest_2</vt:lpstr>
      <vt:lpstr>Fin_Type_Wgts_Sc_FinTypes_Equity_Scenarios_Fin_Scenario_1_Subprojects_Canoes_Invest_per_Subproject_Invest_1</vt:lpstr>
      <vt:lpstr>Fin_Type_Wgts_Sc_FinTypes_Equity_Scenarios_Fin_Scenario_1_Subprojects_Canoes_Invest_per_Subproject_Invest_2</vt:lpstr>
      <vt:lpstr>Fin_Type_Wgts_Sc_FinTypes_Equity_Scenarios_Fin_Scenario_1_Subprojects_Catamarans_Invest_per_Subproject_Invest_1</vt:lpstr>
      <vt:lpstr>Fin_Type_Wgts_Sc_FinTypes_Equity_Scenarios_Fin_Scenario_1_Subprojects_Catamarans_Invest_per_Subproject_Invest_2</vt:lpstr>
      <vt:lpstr>Fin_Type_Wgts_Sc_FinTypes_Equity_Scenarios_Fin_Scenario_2_Subprojects_Canoes_Invest_per_Subproject_Invest_1</vt:lpstr>
      <vt:lpstr>Fin_Type_Wgts_Sc_FinTypes_Equity_Scenarios_Fin_Scenario_2_Subprojects_Canoes_Invest_per_Subproject_Invest_2</vt:lpstr>
      <vt:lpstr>Fin_Type_Wgts_Sc_FinTypes_Equity_Scenarios_Fin_Scenario_2_Subprojects_Catamarans_Invest_per_Subproject_Invest_1</vt:lpstr>
      <vt:lpstr>Fin_Type_Wgts_Sc_FinTypes_Equity_Scenarios_Fin_Scenario_2_Subprojects_Catamarans_Invest_per_Subproject_Invest_2</vt:lpstr>
      <vt:lpstr>Fin_Type_Wgts_Sc_FinTypes_Equity_Scenarios_Fin_Scenario_3_Subprojects_Canoes_Invest_per_Subproject_Invest_1</vt:lpstr>
      <vt:lpstr>Fin_Type_Wgts_Sc_FinTypes_Equity_Scenarios_Fin_Scenario_3_Subprojects_Canoes_Invest_per_Subproject_Invest_2</vt:lpstr>
      <vt:lpstr>Fin_Type_Wgts_Sc_FinTypes_Equity_Scenarios_Fin_Scenario_3_Subprojects_Catamarans_Invest_per_Subproject_Invest_1</vt:lpstr>
      <vt:lpstr>Fin_Type_Wgts_Sc_FinTypes_Equity_Scenarios_Fin_Scenario_3_Subprojects_Catamarans_Invest_per_Subproject_Invest_2</vt:lpstr>
      <vt:lpstr>Fin_Type_Wgts_Sc_FinTypes_Lease_Scenarios_Fin_Scenario_1_Subprojects_Canoes_Invest_per_Subproject_Invest_1</vt:lpstr>
      <vt:lpstr>Fin_Type_Wgts_Sc_FinTypes_Lease_Scenarios_Fin_Scenario_1_Subprojects_Canoes_Invest_per_Subproject_Invest_2</vt:lpstr>
      <vt:lpstr>Fin_Type_Wgts_Sc_FinTypes_Lease_Scenarios_Fin_Scenario_1_Subprojects_Catamarans_Invest_per_Subproject_Invest_1</vt:lpstr>
      <vt:lpstr>Fin_Type_Wgts_Sc_FinTypes_Lease_Scenarios_Fin_Scenario_1_Subprojects_Catamarans_Invest_per_Subproject_Invest_2</vt:lpstr>
      <vt:lpstr>Fin_Type_Wgts_Sc_FinTypes_Lease_Scenarios_Fin_Scenario_2_Subprojects_Canoes_Invest_per_Subproject_Invest_1</vt:lpstr>
      <vt:lpstr>Fin_Type_Wgts_Sc_FinTypes_Lease_Scenarios_Fin_Scenario_2_Subprojects_Canoes_Invest_per_Subproject_Invest_2</vt:lpstr>
      <vt:lpstr>Fin_Type_Wgts_Sc_FinTypes_Lease_Scenarios_Fin_Scenario_2_Subprojects_Catamarans_Invest_per_Subproject_Invest_1</vt:lpstr>
      <vt:lpstr>Fin_Type_Wgts_Sc_FinTypes_Lease_Scenarios_Fin_Scenario_2_Subprojects_Catamarans_Invest_per_Subproject_Invest_2</vt:lpstr>
      <vt:lpstr>Fin_Type_Wgts_Sc_FinTypes_Lease_Scenarios_Fin_Scenario_3_Subprojects_Canoes_Invest_per_Subproject_Invest_1</vt:lpstr>
      <vt:lpstr>Fin_Type_Wgts_Sc_FinTypes_Lease_Scenarios_Fin_Scenario_3_Subprojects_Canoes_Invest_per_Subproject_Invest_2</vt:lpstr>
      <vt:lpstr>Fin_Type_Wgts_Sc_FinTypes_Lease_Scenarios_Fin_Scenario_3_Subprojects_Catamarans_Invest_per_Subproject_Invest_1</vt:lpstr>
      <vt:lpstr>Fin_Type_Wgts_Sc_FinTypes_Lease_Scenarios_Fin_Scenario_3_Subprojects_Catamarans_Invest_per_Subproject_Invest_2</vt:lpstr>
      <vt:lpstr>Financial_Leverage_Subprojects</vt:lpstr>
      <vt:lpstr>Financial_Leverage_Subprojects_Canoes</vt:lpstr>
      <vt:lpstr>Financial_Leverage_Subprojects_Catamarans</vt:lpstr>
      <vt:lpstr>Model_Start_Date</vt:lpstr>
      <vt:lpstr>Net_Income_plt_Date</vt:lpstr>
      <vt:lpstr>Net_Income_plt_Subprojects</vt:lpstr>
      <vt:lpstr>Net_Income_plt_Subprojects_Canoes</vt:lpstr>
      <vt:lpstr>Net_Income_plt_Subprojects_Catamarans</vt:lpstr>
      <vt:lpstr>Net_Income_plt_Time_Period</vt:lpstr>
      <vt:lpstr>Intro!Print_Titles</vt:lpstr>
      <vt:lpstr>Revenue_Date</vt:lpstr>
      <vt:lpstr>Revenue_Subprojects</vt:lpstr>
      <vt:lpstr>Revenue_Subprojects_Canoes</vt:lpstr>
      <vt:lpstr>Revenue_Subprojects_Canoes_Products</vt:lpstr>
      <vt:lpstr>Revenue_Subprojects_Canoes_Products_Product_1</vt:lpstr>
      <vt:lpstr>Revenue_Subprojects_Catamarans</vt:lpstr>
      <vt:lpstr>Revenue_Subprojects_Catamarans_Products</vt:lpstr>
      <vt:lpstr>Revenue_Subprojects_Catamarans_Products_Product_1</vt:lpstr>
      <vt:lpstr>Revenue_Time_Period</vt:lpstr>
      <vt:lpstr>Valuation_BlendedFin_Date</vt:lpstr>
      <vt:lpstr>Valuation_BlendedFin_Subprojects</vt:lpstr>
      <vt:lpstr>Valuation_BlendedFin_Subprojects_Canoes</vt:lpstr>
      <vt:lpstr>Valuation_BlendedFin_Subprojects_Catamarans</vt:lpstr>
      <vt:lpstr>Valuation_BlendedFin_Time_Period</vt:lpstr>
      <vt:lpstr>Valuation_EquityFin_Date</vt:lpstr>
      <vt:lpstr>Valuation_EquityFin_Subprojects</vt:lpstr>
      <vt:lpstr>Valuation_EquityFin_Subprojects_Canoes</vt:lpstr>
      <vt:lpstr>Valuation_EquityFin_Subprojects_Catamarans</vt:lpstr>
      <vt:lpstr>Valuation_EquityFin_Time_Period</vt:lpstr>
      <vt:lpstr>Valuation_plt_Date</vt:lpstr>
      <vt:lpstr>Valuation_plt_Subprojects</vt:lpstr>
      <vt:lpstr>Valuation_plt_Subprojects_Canoes</vt:lpstr>
      <vt:lpstr>Valuation_plt_Subprojects_Catamarans</vt:lpstr>
      <vt:lpstr>Valuation_plt_Time_Period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cp:lastPrinted>2010-04-08T17:07:40Z</cp:lastPrinted>
  <dcterms:created xsi:type="dcterms:W3CDTF">2014-10-25T20:36:20Z</dcterms:created>
  <dcterms:modified xsi:type="dcterms:W3CDTF">2014-10-25T20:36:20Z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TC102875819990</vt:lpwstr>
  </property>
</Properties>
</file>